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ofc-my.sharepoint.com/personal/sidrah_anees_ucalgary_ca/Documents/Desktop/Final Panel Folder/"/>
    </mc:Choice>
  </mc:AlternateContent>
  <xr:revisionPtr revIDLastSave="0" documentId="13_ncr:1_{90D19B9F-20BB-4A30-9AE9-707A1C8F5ABC}" xr6:coauthVersionLast="47" xr6:coauthVersionMax="47" xr10:uidLastSave="{00000000-0000-0000-0000-000000000000}"/>
  <bookViews>
    <workbookView xWindow="-108" yWindow="-108" windowWidth="23256" windowHeight="13176" firstSheet="6" activeTab="6" xr2:uid="{9EE4364A-98F3-4354-A286-36F94ED20A1D}"/>
  </bookViews>
  <sheets>
    <sheet name="Market Research" sheetId="168" r:id="rId1"/>
    <sheet name="Assumptions" sheetId="142" r:id="rId2"/>
    <sheet name="Development Program" sheetId="140" r:id="rId3"/>
    <sheet name="Types of Development" sheetId="163" r:id="rId4"/>
    <sheet name="A Financial" sheetId="149" r:id="rId5"/>
    <sheet name="A DRAW" sheetId="105" r:id="rId6"/>
    <sheet name="B Financial" sheetId="169" r:id="rId7"/>
    <sheet name="B DRAW" sheetId="170" r:id="rId8"/>
    <sheet name="C Financial" sheetId="150" r:id="rId9"/>
    <sheet name="C Draw" sheetId="154" r:id="rId10"/>
    <sheet name="D Financial" sheetId="152" r:id="rId11"/>
    <sheet name="D DRAW" sheetId="162" r:id="rId12"/>
    <sheet name="All Components Draw" sheetId="159" r:id="rId13"/>
    <sheet name="Sheet3" sheetId="17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a1" hidden="1">{"Assump",#N/A,TRUE,"Proforma";"first",#N/A,TRUE,"Proforma";"second",#N/A,TRUE,"Proforma";"lease1",#N/A,TRUE,"Proforma";"lease2",#N/A,TRUE,"Proforma"}</definedName>
    <definedName name="__a1" hidden="1">{"Assump",#N/A,TRUE,"Proforma";"first",#N/A,TRUE,"Proforma";"second",#N/A,TRUE,"Proforma";"lease1",#N/A,TRUE,"Proforma";"lease2",#N/A,TRUE,"Proforma"}</definedName>
    <definedName name="_Fill" localSheetId="4" hidden="1">[1]A!#REF!</definedName>
    <definedName name="_Fill" localSheetId="6" hidden="1">[1]A!#REF!</definedName>
    <definedName name="_Fill" localSheetId="8" hidden="1">[1]A!#REF!</definedName>
    <definedName name="_Fill" localSheetId="10" hidden="1">[1]A!#REF!</definedName>
    <definedName name="_Fill" localSheetId="2" hidden="1">[1]A!#REF!</definedName>
    <definedName name="_Fill" hidden="1">[1]A!#REF!</definedName>
    <definedName name="_Key1" localSheetId="4" hidden="1">'[2]H-INPUT'!#REF!</definedName>
    <definedName name="_Key1" localSheetId="6" hidden="1">'[2]H-INPUT'!#REF!</definedName>
    <definedName name="_Key1" localSheetId="8" hidden="1">'[2]H-INPUT'!#REF!</definedName>
    <definedName name="_Key1" localSheetId="10" hidden="1">'[2]H-INPUT'!#REF!</definedName>
    <definedName name="_Key1" localSheetId="2" hidden="1">'[2]H-INPUT'!#REF!</definedName>
    <definedName name="_Key1" hidden="1">'[2]H-INPUT'!#REF!</definedName>
    <definedName name="_Key2" localSheetId="4" hidden="1">#REF!</definedName>
    <definedName name="_Key2" localSheetId="6" hidden="1">#REF!</definedName>
    <definedName name="_Key2" localSheetId="8" hidden="1">#REF!</definedName>
    <definedName name="_Key2" localSheetId="1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6" hidden="1">#REF!</definedName>
    <definedName name="_Sort" localSheetId="8" hidden="1">#REF!</definedName>
    <definedName name="_Sort" localSheetId="10" hidden="1">#REF!</definedName>
    <definedName name="_Sort" localSheetId="2" hidden="1">#REF!</definedName>
    <definedName name="_Sort" hidden="1">#REF!</definedName>
    <definedName name="_Table1_In1" localSheetId="4" hidden="1">#REF!</definedName>
    <definedName name="_Table1_In1" localSheetId="6" hidden="1">#REF!</definedName>
    <definedName name="_Table1_In1" localSheetId="8" hidden="1">#REF!</definedName>
    <definedName name="_Table1_In1" localSheetId="10" hidden="1">#REF!</definedName>
    <definedName name="_Table1_In1" localSheetId="2" hidden="1">#REF!</definedName>
    <definedName name="_Table1_In1" hidden="1">#REF!</definedName>
    <definedName name="_Table1_Out" localSheetId="4" hidden="1">#REF!</definedName>
    <definedName name="_Table1_Out" localSheetId="6" hidden="1">#REF!</definedName>
    <definedName name="_Table1_Out" localSheetId="8" hidden="1">#REF!</definedName>
    <definedName name="_Table1_Out" localSheetId="10" hidden="1">#REF!</definedName>
    <definedName name="_Table1_Out" localSheetId="2" hidden="1">#REF!</definedName>
    <definedName name="_Table1_Out" hidden="1">#REF!</definedName>
    <definedName name="_Table2_Out" localSheetId="4" hidden="1">[3]General!#REF!</definedName>
    <definedName name="_Table2_Out" localSheetId="6" hidden="1">[3]General!#REF!</definedName>
    <definedName name="_Table2_Out" localSheetId="8" hidden="1">[3]General!#REF!</definedName>
    <definedName name="_Table2_Out" localSheetId="10" hidden="1">[3]General!#REF!</definedName>
    <definedName name="_Table2_Out" localSheetId="2" hidden="1">[3]General!#REF!</definedName>
    <definedName name="_Table2_Out" hidden="1">[3]General!#REF!</definedName>
    <definedName name="_x1" hidden="1">{#N/A,#N/A,FALSE,"WATCHDSC";#N/A,#N/A,FALSE,"2LOSSMOD";#N/A,#N/A,FALSE,"2LOSS";#N/A,#N/A,FALSE,"DSC";#N/A,#N/A,FALSE,"OPERAT";#N/A,#N/A,FALSE,"ADJUST";#N/A,#N/A,FALSE,"LEASE EXPIRE"}</definedName>
    <definedName name="_x2" hidden="1">{#N/A,#N/A,FALSE,"WATCHDSC";#N/A,#N/A,FALSE,"2LOSSMOD";#N/A,#N/A,FALSE,"2LOSS";#N/A,#N/A,FALSE,"DSC";#N/A,#N/A,FALSE,"OPERAT";#N/A,#N/A,FALSE,"ADJUST";#N/A,#N/A,FALSE,"LEASE EXPIRE"}</definedName>
    <definedName name="_x3" hidden="1">{#N/A,#N/A,FALSE,"WATCHDSC";#N/A,#N/A,FALSE,"2LOSSMOD";#N/A,#N/A,FALSE,"2LOSS";#N/A,#N/A,FALSE,"DSC";#N/A,#N/A,FALSE,"OPERAT";#N/A,#N/A,FALSE,"ADJUST";#N/A,#N/A,FALSE,"LEASE EXPIRE"}</definedName>
    <definedName name="a" hidden="1">{"Assump",#N/A,TRUE,"Proforma";"first",#N/A,TRUE,"Proforma";"second",#N/A,TRUE,"Proforma";"lease1",#N/A,TRUE,"Proforma";"lease2",#N/A,TRUE,"Proforma"}</definedName>
    <definedName name="aa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AADSFD" localSheetId="4">[4]Frontsheet!#REF!</definedName>
    <definedName name="AADSFD" localSheetId="6">[4]Frontsheet!#REF!</definedName>
    <definedName name="AADSFD" localSheetId="8">[4]Frontsheet!#REF!</definedName>
    <definedName name="AADSFD" localSheetId="10">[4]Frontsheet!#REF!</definedName>
    <definedName name="AADSFD" localSheetId="2">[4]Frontsheet!#REF!</definedName>
    <definedName name="AADSFD">[4]Frontsheet!#REF!</definedName>
    <definedName name="ac" localSheetId="4">[4]Frontsheet!#REF!</definedName>
    <definedName name="ac" localSheetId="6">[4]Frontsheet!#REF!</definedName>
    <definedName name="ac" localSheetId="8">[4]Frontsheet!#REF!</definedName>
    <definedName name="ac" localSheetId="10">[4]Frontsheet!#REF!</definedName>
    <definedName name="ac" localSheetId="2">[4]Frontsheet!#REF!</definedName>
    <definedName name="ac">[4]Frontsheet!#REF!</definedName>
    <definedName name="alt" localSheetId="4">[4]Frontsheet!#REF!</definedName>
    <definedName name="alt" localSheetId="6">[4]Frontsheet!#REF!</definedName>
    <definedName name="alt" localSheetId="8">[4]Frontsheet!#REF!</definedName>
    <definedName name="alt" localSheetId="10">[4]Frontsheet!#REF!</definedName>
    <definedName name="alt" localSheetId="2">[4]Frontsheet!#REF!</definedName>
    <definedName name="alt">[4]Frontsheet!#REF!</definedName>
    <definedName name="anscount" hidden="1">1</definedName>
    <definedName name="ASA" localSheetId="4">[4]Frontsheet!#REF!</definedName>
    <definedName name="ASA" localSheetId="6">[4]Frontsheet!#REF!</definedName>
    <definedName name="ASA" localSheetId="8">[4]Frontsheet!#REF!</definedName>
    <definedName name="ASA" localSheetId="10">[4]Frontsheet!#REF!</definedName>
    <definedName name="ASA" localSheetId="2">[4]Frontsheet!#REF!</definedName>
    <definedName name="ASA">[4]Frontsheet!#REF!</definedName>
    <definedName name="aw" localSheetId="4">[4]Frontsheet!#REF!</definedName>
    <definedName name="aw" localSheetId="6">[4]Frontsheet!#REF!</definedName>
    <definedName name="aw" localSheetId="8">[4]Frontsheet!#REF!</definedName>
    <definedName name="aw" localSheetId="10">[4]Frontsheet!#REF!</definedName>
    <definedName name="aw" localSheetId="2">[4]Frontsheet!#REF!</definedName>
    <definedName name="aw">[4]Frontsheet!#REF!</definedName>
    <definedName name="b" hidden="1">{"Assump",#N/A,TRUE,"Proforma";"first",#N/A,TRUE,"Proforma";"second",#N/A,TRUE,"Proforma";"lease1",#N/A,TRUE,"Proforma";"lease2",#N/A,TRUE,"Proforma"}</definedName>
    <definedName name="Body">'[5]Equity Investor Sheet 2538'!$A$7:$J$18</definedName>
    <definedName name="costcode">'[6]Pursuit_Expenses by cost code'!$A$5:$F$155</definedName>
    <definedName name="cs" localSheetId="4">[4]Frontsheet!#REF!</definedName>
    <definedName name="cs" localSheetId="6">[4]Frontsheet!#REF!</definedName>
    <definedName name="cs" localSheetId="8">[4]Frontsheet!#REF!</definedName>
    <definedName name="cs" localSheetId="10">[4]Frontsheet!#REF!</definedName>
    <definedName name="cs" localSheetId="2">[4]Frontsheet!#REF!</definedName>
    <definedName name="cs">[4]Frontsheet!#REF!</definedName>
    <definedName name="ct" localSheetId="4">[4]Frontsheet!#REF!</definedName>
    <definedName name="ct" localSheetId="6">[4]Frontsheet!#REF!</definedName>
    <definedName name="ct" localSheetId="8">[4]Frontsheet!#REF!</definedName>
    <definedName name="ct" localSheetId="10">[4]Frontsheet!#REF!</definedName>
    <definedName name="ct" localSheetId="2">[4]Frontsheet!#REF!</definedName>
    <definedName name="ct">[4]Frontsheet!#REF!</definedName>
    <definedName name="ddgfeerew" localSheetId="4">[4]Frontsheet!#REF!</definedName>
    <definedName name="ddgfeerew" localSheetId="6">[4]Frontsheet!#REF!</definedName>
    <definedName name="ddgfeerew" localSheetId="8">[4]Frontsheet!#REF!</definedName>
    <definedName name="ddgfeerew" localSheetId="10">[4]Frontsheet!#REF!</definedName>
    <definedName name="ddgfeerew" localSheetId="2">[4]Frontsheet!#REF!</definedName>
    <definedName name="ddgfeerew">[4]Frontsheet!#REF!</definedName>
    <definedName name="dflt1">'[7]Customize Your Invoice'!$E$22</definedName>
    <definedName name="dflt5">'[7]Customize Your Invoice'!$E$27</definedName>
    <definedName name="dflt6">'[7]Customize Your Invoice'!$D$28</definedName>
    <definedName name="dfsdf" localSheetId="4">[4]Frontsheet!#REF!</definedName>
    <definedName name="dfsdf" localSheetId="6">[4]Frontsheet!#REF!</definedName>
    <definedName name="dfsdf" localSheetId="8">[4]Frontsheet!#REF!</definedName>
    <definedName name="dfsdf" localSheetId="10">[4]Frontsheet!#REF!</definedName>
    <definedName name="dfsdf" localSheetId="2">[4]Frontsheet!#REF!</definedName>
    <definedName name="dfsdf">[4]Frontsheet!#REF!</definedName>
    <definedName name="dw" localSheetId="4">[4]Frontsheet!#REF!</definedName>
    <definedName name="dw" localSheetId="6">[4]Frontsheet!#REF!</definedName>
    <definedName name="dw" localSheetId="8">[4]Frontsheet!#REF!</definedName>
    <definedName name="dw" localSheetId="10">[4]Frontsheet!#REF!</definedName>
    <definedName name="dw" localSheetId="2">[4]Frontsheet!#REF!</definedName>
    <definedName name="dw">[4]Frontsheet!#REF!</definedName>
    <definedName name="ee" hidden="1">{"Assump",#N/A,TRUE,"Proforma";"first",#N/A,TRUE,"Proforma";"second",#N/A,TRUE,"Proforma";"lease1",#N/A,TRUE,"Proforma";"lease2",#N/A,TRUE,"Proforma"}</definedName>
    <definedName name="el" localSheetId="4">[4]Frontsheet!#REF!</definedName>
    <definedName name="el" localSheetId="6">[4]Frontsheet!#REF!</definedName>
    <definedName name="el" localSheetId="8">[4]Frontsheet!#REF!</definedName>
    <definedName name="el" localSheetId="10">[4]Frontsheet!#REF!</definedName>
    <definedName name="el" localSheetId="2">[4]Frontsheet!#REF!</definedName>
    <definedName name="el">[4]Frontsheet!#REF!</definedName>
    <definedName name="ellen" hidden="1">{#N/A,#N/A,FALSE,"WATCHDSC";#N/A,#N/A,FALSE,"2LOSSMOD";#N/A,#N/A,FALSE,"2LOSS";#N/A,#N/A,FALSE,"DSC";#N/A,#N/A,FALSE,"OPERAT";#N/A,#N/A,FALSE,"ADJUST";#N/A,#N/A,FALSE,"LEASE EXPIRE"}</definedName>
    <definedName name="erasdf" hidden="1">{"Assump",#N/A,TRUE,"Proforma";"first",#N/A,TRUE,"Proforma";"second",#N/A,TRUE,"Proforma";"lease1",#N/A,TRUE,"Proforma";"lease2",#N/A,TRUE,"Proforma"}</definedName>
    <definedName name="EW" localSheetId="4">[4]Frontsheet!#REF!</definedName>
    <definedName name="EW" localSheetId="6">[4]Frontsheet!#REF!</definedName>
    <definedName name="EW" localSheetId="8">[4]Frontsheet!#REF!</definedName>
    <definedName name="EW" localSheetId="10">[4]Frontsheet!#REF!</definedName>
    <definedName name="EW" localSheetId="2">[4]Frontsheet!#REF!</definedName>
    <definedName name="EW">[4]Frontsheet!#REF!</definedName>
    <definedName name="f" localSheetId="4">[4]Frontsheet!#REF!</definedName>
    <definedName name="f" localSheetId="6">[4]Frontsheet!#REF!</definedName>
    <definedName name="f" localSheetId="8">[4]Frontsheet!#REF!</definedName>
    <definedName name="f" localSheetId="10">[4]Frontsheet!#REF!</definedName>
    <definedName name="f" localSheetId="2">[4]Frontsheet!#REF!</definedName>
    <definedName name="f">[4]Frontsheet!#REF!</definedName>
    <definedName name="fe" localSheetId="4">[4]Frontsheet!#REF!</definedName>
    <definedName name="fe" localSheetId="6">[4]Frontsheet!#REF!</definedName>
    <definedName name="fe" localSheetId="8">[4]Frontsheet!#REF!</definedName>
    <definedName name="fe" localSheetId="10">[4]Frontsheet!#REF!</definedName>
    <definedName name="fe" localSheetId="2">[4]Frontsheet!#REF!</definedName>
    <definedName name="fe">[4]Frontsheet!#REF!</definedName>
    <definedName name="FFFFF" localSheetId="4">[4]Frontsheet!#REF!</definedName>
    <definedName name="FFFFF" localSheetId="6">[4]Frontsheet!#REF!</definedName>
    <definedName name="FFFFF" localSheetId="8">[4]Frontsheet!#REF!</definedName>
    <definedName name="FFFFF" localSheetId="10">[4]Frontsheet!#REF!</definedName>
    <definedName name="FFFFF" localSheetId="2">[4]Frontsheet!#REF!</definedName>
    <definedName name="FFFFF">[4]Frontsheet!#REF!</definedName>
    <definedName name="FJHJ" localSheetId="4">[4]Frontsheet!#REF!</definedName>
    <definedName name="FJHJ" localSheetId="6">[4]Frontsheet!#REF!</definedName>
    <definedName name="FJHJ" localSheetId="8">[4]Frontsheet!#REF!</definedName>
    <definedName name="FJHJ" localSheetId="10">[4]Frontsheet!#REF!</definedName>
    <definedName name="FJHJ" localSheetId="2">[4]Frontsheet!#REF!</definedName>
    <definedName name="FJHJ">[4]Frontsheet!#REF!</definedName>
    <definedName name="fo" localSheetId="4">#REF!</definedName>
    <definedName name="fo" localSheetId="6">#REF!</definedName>
    <definedName name="fo" localSheetId="8">#REF!</definedName>
    <definedName name="fo" localSheetId="10">#REF!</definedName>
    <definedName name="fo" localSheetId="2">#REF!</definedName>
    <definedName name="fo">#REF!</definedName>
    <definedName name="FORM" localSheetId="4">#REF!</definedName>
    <definedName name="FORM" localSheetId="6">#REF!</definedName>
    <definedName name="FORM" localSheetId="8">#REF!</definedName>
    <definedName name="FORM" localSheetId="10">#REF!</definedName>
    <definedName name="FORM" localSheetId="2">#REF!</definedName>
    <definedName name="FORM">#REF!</definedName>
    <definedName name="FURYUR" localSheetId="4">[4]Frontsheet!#REF!</definedName>
    <definedName name="FURYUR" localSheetId="6">[4]Frontsheet!#REF!</definedName>
    <definedName name="FURYUR" localSheetId="8">[4]Frontsheet!#REF!</definedName>
    <definedName name="FURYUR" localSheetId="10">[4]Frontsheet!#REF!</definedName>
    <definedName name="FURYUR" localSheetId="2">[4]Frontsheet!#REF!</definedName>
    <definedName name="FURYUR">[4]Frontsheet!#REF!</definedName>
    <definedName name="gl" localSheetId="4">[4]Frontsheet!#REF!</definedName>
    <definedName name="gl" localSheetId="6">[4]Frontsheet!#REF!</definedName>
    <definedName name="gl" localSheetId="8">[4]Frontsheet!#REF!</definedName>
    <definedName name="gl" localSheetId="10">[4]Frontsheet!#REF!</definedName>
    <definedName name="gl" localSheetId="2">[4]Frontsheet!#REF!</definedName>
    <definedName name="gl">[4]Frontsheet!#REF!</definedName>
    <definedName name="h" localSheetId="4">[4]Frontsheet!#REF!</definedName>
    <definedName name="h" localSheetId="6">[4]Frontsheet!#REF!</definedName>
    <definedName name="h" localSheetId="8">[4]Frontsheet!#REF!</definedName>
    <definedName name="h" localSheetId="10">[4]Frontsheet!#REF!</definedName>
    <definedName name="h" localSheetId="2">[4]Frontsheet!#REF!</definedName>
    <definedName name="h">[4]Frontsheet!#REF!</definedName>
    <definedName name="hjkhjlkgg" localSheetId="4">[4]Frontsheet!#REF!</definedName>
    <definedName name="hjkhjlkgg" localSheetId="6">[4]Frontsheet!#REF!</definedName>
    <definedName name="hjkhjlkgg" localSheetId="8">[4]Frontsheet!#REF!</definedName>
    <definedName name="hjkhjlkgg" localSheetId="10">[4]Frontsheet!#REF!</definedName>
    <definedName name="hjkhjlkgg" localSheetId="2">[4]Frontsheet!#REF!</definedName>
    <definedName name="hjkhjlkgg">[4]Frontsheet!#REF!</definedName>
    <definedName name="jkjkl" localSheetId="4">[4]Frontsheet!#REF!</definedName>
    <definedName name="jkjkl" localSheetId="6">[4]Frontsheet!#REF!</definedName>
    <definedName name="jkjkl" localSheetId="8">[4]Frontsheet!#REF!</definedName>
    <definedName name="jkjkl" localSheetId="10">[4]Frontsheet!#REF!</definedName>
    <definedName name="jkjkl" localSheetId="2">[4]Frontsheet!#REF!</definedName>
    <definedName name="jkjkl">[4]Frontsheet!#REF!</definedName>
    <definedName name="kb" localSheetId="4">[4]Frontsheet!#REF!</definedName>
    <definedName name="kb" localSheetId="6">[4]Frontsheet!#REF!</definedName>
    <definedName name="kb" localSheetId="8">[4]Frontsheet!#REF!</definedName>
    <definedName name="kb" localSheetId="10">[4]Frontsheet!#REF!</definedName>
    <definedName name="kb" localSheetId="2">[4]Frontsheet!#REF!</definedName>
    <definedName name="kb">[4]Frontsheet!#REF!</definedName>
    <definedName name="ke" localSheetId="4">[4]Frontsheet!#REF!</definedName>
    <definedName name="ke" localSheetId="6">[4]Frontsheet!#REF!</definedName>
    <definedName name="ke" localSheetId="8">[4]Frontsheet!#REF!</definedName>
    <definedName name="ke" localSheetId="10">[4]Frontsheet!#REF!</definedName>
    <definedName name="ke" localSheetId="2">[4]Frontsheet!#REF!</definedName>
    <definedName name="ke">[4]Frontsheet!#REF!</definedName>
    <definedName name="lk" localSheetId="4">[4]Frontsheet!#REF!</definedName>
    <definedName name="lk" localSheetId="6">[4]Frontsheet!#REF!</definedName>
    <definedName name="lk" localSheetId="8">[4]Frontsheet!#REF!</definedName>
    <definedName name="lk" localSheetId="10">[4]Frontsheet!#REF!</definedName>
    <definedName name="lk" localSheetId="2">[4]Frontsheet!#REF!</definedName>
    <definedName name="lk">[4]Frontsheet!#REF!</definedName>
    <definedName name="memo_description">[6]Lists!$D$4:$D$10</definedName>
    <definedName name="ml" localSheetId="4">[4]Frontsheet!#REF!</definedName>
    <definedName name="ml" localSheetId="6">[4]Frontsheet!#REF!</definedName>
    <definedName name="ml" localSheetId="8">[4]Frontsheet!#REF!</definedName>
    <definedName name="ml" localSheetId="10">[4]Frontsheet!#REF!</definedName>
    <definedName name="ml" localSheetId="2">[4]Frontsheet!#REF!</definedName>
    <definedName name="ml">[4]Frontsheet!#REF!</definedName>
    <definedName name="mw" localSheetId="4">[4]Frontsheet!#REF!</definedName>
    <definedName name="mw" localSheetId="6">[4]Frontsheet!#REF!</definedName>
    <definedName name="mw" localSheetId="8">[4]Frontsheet!#REF!</definedName>
    <definedName name="mw" localSheetId="10">[4]Frontsheet!#REF!</definedName>
    <definedName name="mw" localSheetId="2">[4]Frontsheet!#REF!</definedName>
    <definedName name="mw">[4]Frontsheet!#REF!</definedName>
    <definedName name="NEWDRAW" localSheetId="4">#REF!</definedName>
    <definedName name="NEWDRAW" localSheetId="6">#REF!</definedName>
    <definedName name="NEWDRAW" localSheetId="8">#REF!</definedName>
    <definedName name="NEWDRAW" localSheetId="10">#REF!</definedName>
    <definedName name="NEWDRAW" localSheetId="2">#REF!</definedName>
    <definedName name="NEWDRAW">#REF!</definedName>
    <definedName name="NvsEndTime">36465.4707604167</definedName>
    <definedName name="os" localSheetId="4">[4]Frontsheet!#REF!</definedName>
    <definedName name="os" localSheetId="6">[4]Frontsheet!#REF!</definedName>
    <definedName name="os" localSheetId="8">[4]Frontsheet!#REF!</definedName>
    <definedName name="os" localSheetId="10">[4]Frontsheet!#REF!</definedName>
    <definedName name="os" localSheetId="2">[4]Frontsheet!#REF!</definedName>
    <definedName name="os">[4]Frontsheet!#REF!</definedName>
    <definedName name="p" localSheetId="4">[4]Frontsheet!#REF!</definedName>
    <definedName name="p" localSheetId="6">[4]Frontsheet!#REF!</definedName>
    <definedName name="p" localSheetId="8">[4]Frontsheet!#REF!</definedName>
    <definedName name="p" localSheetId="10">[4]Frontsheet!#REF!</definedName>
    <definedName name="p" localSheetId="2">[4]Frontsheet!#REF!</definedName>
    <definedName name="p">[4]Frontsheet!#REF!</definedName>
    <definedName name="pa" localSheetId="4">[4]Frontsheet!#REF!</definedName>
    <definedName name="pa" localSheetId="6">[4]Frontsheet!#REF!</definedName>
    <definedName name="pa" localSheetId="8">[4]Frontsheet!#REF!</definedName>
    <definedName name="pa" localSheetId="10">[4]Frontsheet!#REF!</definedName>
    <definedName name="pa" localSheetId="2">[4]Frontsheet!#REF!</definedName>
    <definedName name="pa">[4]Frontsheet!#REF!</definedName>
    <definedName name="PD" localSheetId="4">#REF!</definedName>
    <definedName name="PD" localSheetId="6">#REF!</definedName>
    <definedName name="PD" localSheetId="8">#REF!</definedName>
    <definedName name="PD" localSheetId="10">#REF!</definedName>
    <definedName name="PD" localSheetId="2">#REF!</definedName>
    <definedName name="PD">#REF!</definedName>
    <definedName name="pipeline_status">[6]Lists!$F$4:$F$8</definedName>
    <definedName name="pp" localSheetId="4">[4]Frontsheet!#REF!</definedName>
    <definedName name="pp" localSheetId="6">[4]Frontsheet!#REF!</definedName>
    <definedName name="pp" localSheetId="8">[4]Frontsheet!#REF!</definedName>
    <definedName name="pp" localSheetId="10">[4]Frontsheet!#REF!</definedName>
    <definedName name="pp" localSheetId="2">[4]Frontsheet!#REF!</definedName>
    <definedName name="pp">[4]Frontsheet!#REF!</definedName>
    <definedName name="_xlnm.Print_Area" localSheetId="5">'A DRAW'!$A$1:$BZ$53</definedName>
    <definedName name="_xlnm.Print_Area" localSheetId="4">'A Financial'!$A$1:$E$100</definedName>
    <definedName name="_xlnm.Print_Area" localSheetId="7">'B DRAW'!$A$1:$CB$53</definedName>
    <definedName name="_xlnm.Print_Area" localSheetId="6">'B Financial'!$A$1:$E$105</definedName>
    <definedName name="_xlnm.Print_Area" localSheetId="8">'C Financial'!$A$1:$E$112</definedName>
    <definedName name="_xlnm.Print_Area" localSheetId="10">'D Financial'!$A$1:$E$111</definedName>
    <definedName name="_xlnm.Print_Area" localSheetId="2">'Development Program'!$B$1:$N$32</definedName>
    <definedName name="_xlnm.Print_Area">#REF!</definedName>
    <definedName name="print_area2" localSheetId="4">#REF!</definedName>
    <definedName name="print_area2" localSheetId="6">#REF!</definedName>
    <definedName name="print_area2" localSheetId="8">#REF!</definedName>
    <definedName name="print_area2" localSheetId="10">#REF!</definedName>
    <definedName name="print_area2" localSheetId="2">#REF!</definedName>
    <definedName name="print_area2">#REF!</definedName>
    <definedName name="print_area3" localSheetId="4">#REF!</definedName>
    <definedName name="print_area3" localSheetId="6">#REF!</definedName>
    <definedName name="print_area3" localSheetId="8">#REF!</definedName>
    <definedName name="print_area3" localSheetId="10">#REF!</definedName>
    <definedName name="print_area3" localSheetId="2">#REF!</definedName>
    <definedName name="print_area3">#REF!</definedName>
    <definedName name="print_area4" localSheetId="4">#REF!</definedName>
    <definedName name="print_area4" localSheetId="6">#REF!</definedName>
    <definedName name="print_area4" localSheetId="8">#REF!</definedName>
    <definedName name="print_area4" localSheetId="10">#REF!</definedName>
    <definedName name="print_area4" localSheetId="2">#REF!</definedName>
    <definedName name="print_area4">#REF!</definedName>
    <definedName name="_xlnm.Print_Titles">#N/A</definedName>
    <definedName name="PROFORMA" localSheetId="4">#REF!</definedName>
    <definedName name="PROFORMA" localSheetId="6">#REF!</definedName>
    <definedName name="PROFORMA" localSheetId="8">#REF!</definedName>
    <definedName name="PROFORMA" localSheetId="10">#REF!</definedName>
    <definedName name="PROFORMA" localSheetId="2">#REF!</definedName>
    <definedName name="PROFORMA">#REF!</definedName>
    <definedName name="Promote_dev_1">[6]Input!$E$330</definedName>
    <definedName name="Property_Types">'[8]Deal Assumptions'!$G$345:$Z$345</definedName>
    <definedName name="pt" localSheetId="4">[4]Frontsheet!#REF!</definedName>
    <definedName name="pt" localSheetId="6">[4]Frontsheet!#REF!</definedName>
    <definedName name="pt" localSheetId="8">[4]Frontsheet!#REF!</definedName>
    <definedName name="pt" localSheetId="10">[4]Frontsheet!#REF!</definedName>
    <definedName name="pt" localSheetId="2">[4]Frontsheet!#REF!</definedName>
    <definedName name="pt">[4]Frontsheet!#REF!</definedName>
    <definedName name="qq" localSheetId="4">#REF!</definedName>
    <definedName name="qq" localSheetId="6">#REF!</definedName>
    <definedName name="qq" localSheetId="8">#REF!</definedName>
    <definedName name="qq" localSheetId="10">#REF!</definedName>
    <definedName name="qq" localSheetId="2">#REF!</definedName>
    <definedName name="qq">#REF!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f" localSheetId="4">[4]Frontsheet!#REF!</definedName>
    <definedName name="rf" localSheetId="6">[4]Frontsheet!#REF!</definedName>
    <definedName name="rf" localSheetId="8">[4]Frontsheet!#REF!</definedName>
    <definedName name="rf" localSheetId="10">[4]Frontsheet!#REF!</definedName>
    <definedName name="rf" localSheetId="2">[4]Frontsheet!#REF!</definedName>
    <definedName name="rf">[4]Frontsheet!#REF!</definedName>
    <definedName name="S_U" localSheetId="4">#REF!</definedName>
    <definedName name="S_U" localSheetId="6">#REF!</definedName>
    <definedName name="S_U" localSheetId="8">#REF!</definedName>
    <definedName name="S_U" localSheetId="10">#REF!</definedName>
    <definedName name="S_U" localSheetId="2">#REF!</definedName>
    <definedName name="S_U">#REF!</definedName>
    <definedName name="Sample1" localSheetId="4">[9]Template!#REF!</definedName>
    <definedName name="Sample1" localSheetId="6">[9]Template!#REF!</definedName>
    <definedName name="Sample1" localSheetId="8">[9]Template!#REF!</definedName>
    <definedName name="Sample1" localSheetId="10">[9]Template!#REF!</definedName>
    <definedName name="Sample1" localSheetId="2">[9]Template!#REF!</definedName>
    <definedName name="Sample1">[9]Template!#REF!</definedName>
    <definedName name="sample2" localSheetId="4">[10]Template!#REF!</definedName>
    <definedName name="sample2" localSheetId="6">[10]Template!#REF!</definedName>
    <definedName name="sample2" localSheetId="8">[10]Template!#REF!</definedName>
    <definedName name="sample2" localSheetId="10">[10]Template!#REF!</definedName>
    <definedName name="sample2" localSheetId="2">[10]Template!#REF!</definedName>
    <definedName name="sample2">[10]Template!#REF!</definedName>
    <definedName name="sample3" localSheetId="4">[10]Template!#REF!</definedName>
    <definedName name="sample3" localSheetId="6">[10]Template!#REF!</definedName>
    <definedName name="sample3" localSheetId="8">[10]Template!#REF!</definedName>
    <definedName name="sample3" localSheetId="10">[10]Template!#REF!</definedName>
    <definedName name="sample3" localSheetId="2">[10]Template!#REF!</definedName>
    <definedName name="sample3">[10]Template!#REF!</definedName>
    <definedName name="sdf" hidden="1">{"Assump",#N/A,TRUE,"Proforma";"first",#N/A,TRUE,"Proforma";"second",#N/A,TRUE,"Proforma";"lease1",#N/A,TRUE,"Proforma";"lease2",#N/A,TRUE,"Proforma"}</definedName>
    <definedName name="sdfgsfgdsfg" localSheetId="4">[4]Frontsheet!#REF!</definedName>
    <definedName name="sdfgsfgdsfg" localSheetId="6">[4]Frontsheet!#REF!</definedName>
    <definedName name="sdfgsfgdsfg" localSheetId="8">[4]Frontsheet!#REF!</definedName>
    <definedName name="sdfgsfgdsfg" localSheetId="10">[4]Frontsheet!#REF!</definedName>
    <definedName name="sdfgsfgdsfg" localSheetId="2">[4]Frontsheet!#REF!</definedName>
    <definedName name="sdfgsfgdsfg">[4]Frontsheet!#REF!</definedName>
    <definedName name="SF">'[11]One Pager - Assumptions'!$H$31</definedName>
    <definedName name="sg" localSheetId="4">[4]Frontsheet!#REF!</definedName>
    <definedName name="sg" localSheetId="6">[4]Frontsheet!#REF!</definedName>
    <definedName name="sg" localSheetId="8">[4]Frontsheet!#REF!</definedName>
    <definedName name="sg" localSheetId="10">[4]Frontsheet!#REF!</definedName>
    <definedName name="sg" localSheetId="2">[4]Frontsheet!#REF!</definedName>
    <definedName name="sg">[4]Frontsheet!#REF!</definedName>
    <definedName name="si" localSheetId="4">[4]Frontsheet!#REF!</definedName>
    <definedName name="si" localSheetId="6">[4]Frontsheet!#REF!</definedName>
    <definedName name="si" localSheetId="8">[4]Frontsheet!#REF!</definedName>
    <definedName name="si" localSheetId="10">[4]Frontsheet!#REF!</definedName>
    <definedName name="si" localSheetId="2">[4]Frontsheet!#REF!</definedName>
    <definedName name="si">[4]Frontsheet!#REF!</definedName>
    <definedName name="solver_adj" localSheetId="6" hidden="1">'B Financial'!$B$16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est" localSheetId="6" hidden="1">1</definedName>
    <definedName name="solver_itr" localSheetId="6" hidden="1">2147483647</definedName>
    <definedName name="solver_lhs1" localSheetId="6" hidden="1">'B Financial'!$B$16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1</definedName>
    <definedName name="solver_nwt" localSheetId="6" hidden="1">1</definedName>
    <definedName name="solver_opt" localSheetId="6" hidden="1">'B Financial'!$B$77</definedName>
    <definedName name="solver_pre" localSheetId="6" hidden="1">0.000001</definedName>
    <definedName name="solver_rbv" localSheetId="6" hidden="1">1</definedName>
    <definedName name="solver_rel1" localSheetId="6" hidden="1">3</definedName>
    <definedName name="solver_rhs1" localSheetId="6" hidden="1">0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1</definedName>
    <definedName name="solver_val" localSheetId="6" hidden="1">-2000000</definedName>
    <definedName name="solver_ver" localSheetId="6" hidden="1">3</definedName>
    <definedName name="tp" localSheetId="4">[4]Frontsheet!#REF!</definedName>
    <definedName name="tp" localSheetId="6">[4]Frontsheet!#REF!</definedName>
    <definedName name="tp" localSheetId="8">[4]Frontsheet!#REF!</definedName>
    <definedName name="tp" localSheetId="10">[4]Frontsheet!#REF!</definedName>
    <definedName name="tp" localSheetId="2">[4]Frontsheet!#REF!</definedName>
    <definedName name="tp">[4]Frontsheet!#REF!</definedName>
    <definedName name="Trended_hard_cost">[6]Input!$K$47</definedName>
    <definedName name="trended_partner_contributions" localSheetId="4">'[6]Trended Cash Flow'!#REF!</definedName>
    <definedName name="trended_partner_contributions" localSheetId="6">'[6]Trended Cash Flow'!#REF!</definedName>
    <definedName name="trended_partner_contributions" localSheetId="8">'[6]Trended Cash Flow'!#REF!</definedName>
    <definedName name="trended_partner_contributions" localSheetId="10">'[6]Trended Cash Flow'!#REF!</definedName>
    <definedName name="trended_partner_contributions" localSheetId="2">'[6]Trended Cash Flow'!#REF!</definedName>
    <definedName name="trended_partner_contributions">'[6]Trended Cash Flow'!#REF!</definedName>
    <definedName name="TT" localSheetId="4">[4]Frontsheet!#REF!</definedName>
    <definedName name="TT" localSheetId="6">[4]Frontsheet!#REF!</definedName>
    <definedName name="TT" localSheetId="8">[4]Frontsheet!#REF!</definedName>
    <definedName name="TT" localSheetId="10">[4]Frontsheet!#REF!</definedName>
    <definedName name="TT" localSheetId="2">[4]Frontsheet!#REF!</definedName>
    <definedName name="TT">[4]Frontsheet!#REF!</definedName>
    <definedName name="units">'[12]Equity Investor Sheet 2538'!$G$132</definedName>
    <definedName name="untrended_dates">'[6]Untrended Cash Flow'!$E$12:$BL$12</definedName>
    <definedName name="untrended_partner_contributions">'[6]Untrended Cash Flow'!$E$154:$BL$154</definedName>
    <definedName name="vital5">'[7]Customize Your Invoice'!$E$15</definedName>
    <definedName name="wetadf" hidden="1">{"Assump",#N/A,TRUE,"Proforma";"first",#N/A,TRUE,"Proforma";"second",#N/A,TRUE,"Proforma";"lease1",#N/A,TRUE,"Proforma";"lease2",#N/A,TRUE,"Proforma"}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ssa." hidden="1">{#N/A,#N/A,FALSE,"WATCHDSC";#N/A,#N/A,FALSE,"2LOSSMOD";#N/A,#N/A,FALSE,"2LOSS";#N/A,#N/A,FALSE,"DSC";#N/A,#N/A,FALSE,"OPERAT";#N/A,#N/A,FALSE,"ADJUST";#N/A,#N/A,FALSE,"LEASE EXPIRE"}</definedName>
    <definedName name="wrn.data." hidden="1">{"data",#N/A,FALSE,"INPUT"}</definedName>
    <definedName name="wrn.GSA._.PRINT." hidden="1">{#N/A,#N/A,FALSE,"DEV COSTS";#N/A,#N/A,FALSE,"10-YR C. F."}</definedName>
    <definedName name="wrn.Investment._.Review." hidden="1">{#N/A,#N/A,FALSE,"Proforma Five Yr";#N/A,#N/A,FALSE,"Capital Input";#N/A,#N/A,FALSE,"Calculations";#N/A,#N/A,FALSE,"Transaction Summary-DTW"}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Operations._.Review." hidden="1">{#N/A,#N/A,FALSE,"Proforma Five Yr";#N/A,#N/A,FALSE,"Occ and Rate";#N/A,#N/A,FALSE,"PF Input";#N/A,#N/A,FALSE,"Hotcomps"}</definedName>
    <definedName name="wrn.Phase._.I." hidden="1">{#N/A,#N/A,FALSE,"Transaction Summary-DTW";#N/A,#N/A,FALSE,"Proforma Five Yr";#N/A,#N/A,FALSE,"Occ and Rate"}</definedName>
    <definedName name="wrn.print." hidden="1">{"Assump",#N/A,TRUE,"Proforma";"first",#N/A,TRUE,"Proforma";"second",#N/A,TRUE,"Proforma";"lease1",#N/A,TRUE,"Proforma";"lease2",#N/A,TRUE,"Proforma"}</definedName>
    <definedName name="wrn.Proforma._.Review." hidden="1">{#N/A,#N/A,FALSE,"Occ and Rate";#N/A,#N/A,FALSE,"PF Input";#N/A,#N/A,FALSE,"Proforma Five Yr";#N/A,#N/A,FALSE,"Hotcomps"}</definedName>
    <definedName name="wrn.Report.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n.Total.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OTAL._.SHEETS." hidden="1">{#N/A,#N/A,FALSE,"DEV COSTS";#N/A,#N/A,FALSE,"10-YR C. F."}</definedName>
    <definedName name="wrn.WeeklyStatus." hidden="1">{#N/A,#N/A,FALSE,"StatusReport"}</definedName>
    <definedName name="wrn.YTD.Clsngs.Subdiv.Dte." hidden="1">{"Smry.sbtl.subdiv.clsdte",#N/A,FALSE,"97clsngs.612"}</definedName>
    <definedName name="x" hidden="1">{#N/A,#N/A,FALSE,"WATCHDSC";#N/A,#N/A,FALSE,"2LOSSMOD";#N/A,#N/A,FALSE,"2LOSS";#N/A,#N/A,FALSE,"DSC";#N/A,#N/A,FALSE,"OPERAT";#N/A,#N/A,FALSE,"ADJUST";#N/A,#N/A,FALSE,"LEASE EXPIRE"}</definedName>
  </definedNames>
  <calcPr calcId="191028" calcCompleted="0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40" l="1"/>
  <c r="D7" i="140"/>
  <c r="G12" i="140"/>
  <c r="C21" i="140" l="1"/>
  <c r="AB4" i="159"/>
  <c r="AC4" i="159"/>
  <c r="AD4" i="159"/>
  <c r="AE4" i="159"/>
  <c r="AF4" i="159"/>
  <c r="AG4" i="159"/>
  <c r="AH4" i="159"/>
  <c r="AI4" i="159"/>
  <c r="AJ4" i="159"/>
  <c r="AK4" i="159"/>
  <c r="AL4" i="159"/>
  <c r="AM4" i="159"/>
  <c r="AN4" i="159"/>
  <c r="AO4" i="159"/>
  <c r="AP4" i="159"/>
  <c r="AQ4" i="159"/>
  <c r="AR4" i="159"/>
  <c r="AS4" i="159"/>
  <c r="X25" i="170"/>
  <c r="A21" i="170"/>
  <c r="P25" i="105"/>
  <c r="Q25" i="105"/>
  <c r="R25" i="105"/>
  <c r="S25" i="105"/>
  <c r="T25" i="105"/>
  <c r="X24" i="154"/>
  <c r="T23" i="162"/>
  <c r="U23" i="162"/>
  <c r="V23" i="162"/>
  <c r="W23" i="162"/>
  <c r="X23" i="162"/>
  <c r="V5" i="162"/>
  <c r="W5" i="162"/>
  <c r="X5" i="162"/>
  <c r="X19" i="162"/>
  <c r="V24" i="162"/>
  <c r="W24" i="162"/>
  <c r="X24" i="162"/>
  <c r="M3" i="162"/>
  <c r="P3" i="162" s="1"/>
  <c r="S3" i="162" s="1"/>
  <c r="V3" i="162" s="1"/>
  <c r="N3" i="162"/>
  <c r="Q3" i="162" s="1"/>
  <c r="T3" i="162" s="1"/>
  <c r="W3" i="162" s="1"/>
  <c r="O3" i="162"/>
  <c r="R3" i="162"/>
  <c r="U3" i="162" s="1"/>
  <c r="X3" i="162" s="1"/>
  <c r="L3" i="162"/>
  <c r="D3" i="162"/>
  <c r="E3" i="162" s="1"/>
  <c r="F3" i="162" s="1"/>
  <c r="G3" i="162" s="1"/>
  <c r="F2" i="162"/>
  <c r="E2" i="162"/>
  <c r="D2" i="162"/>
  <c r="C2" i="162"/>
  <c r="A1" i="162"/>
  <c r="C2" i="154"/>
  <c r="L3" i="154"/>
  <c r="M3" i="154" s="1"/>
  <c r="N3" i="154" s="1"/>
  <c r="O3" i="154" s="1"/>
  <c r="P3" i="154" s="1"/>
  <c r="Q3" i="154" s="1"/>
  <c r="R3" i="154" s="1"/>
  <c r="S3" i="154" s="1"/>
  <c r="T3" i="154" s="1"/>
  <c r="U3" i="154" s="1"/>
  <c r="K3" i="154"/>
  <c r="I3" i="154"/>
  <c r="E3" i="154"/>
  <c r="F3" i="154" s="1"/>
  <c r="G3" i="154" s="1"/>
  <c r="D3" i="154"/>
  <c r="J8" i="154"/>
  <c r="D3" i="170"/>
  <c r="E3" i="170" s="1"/>
  <c r="F3" i="170" s="1"/>
  <c r="G3" i="170" s="1"/>
  <c r="H3" i="170" s="1"/>
  <c r="I3" i="170" s="1"/>
  <c r="J3" i="170" s="1"/>
  <c r="K3" i="170" s="1"/>
  <c r="L3" i="170" s="1"/>
  <c r="M3" i="170" s="1"/>
  <c r="N3" i="170" s="1"/>
  <c r="O3" i="170" s="1"/>
  <c r="P3" i="170" s="1"/>
  <c r="Q3" i="170" s="1"/>
  <c r="R3" i="170" s="1"/>
  <c r="I3" i="105"/>
  <c r="J3" i="105" s="1"/>
  <c r="K3" i="105" s="1"/>
  <c r="L3" i="105" s="1"/>
  <c r="M3" i="105" s="1"/>
  <c r="N3" i="105" s="1"/>
  <c r="O3" i="105" s="1"/>
  <c r="P3" i="105" s="1"/>
  <c r="Q3" i="105" s="1"/>
  <c r="R3" i="105" s="1"/>
  <c r="S3" i="105" s="1"/>
  <c r="T3" i="105" s="1"/>
  <c r="G3" i="105"/>
  <c r="F3" i="105"/>
  <c r="E3" i="105"/>
  <c r="D3" i="105"/>
  <c r="D2" i="170"/>
  <c r="F2" i="170"/>
  <c r="E2" i="170"/>
  <c r="C2" i="170"/>
  <c r="A1" i="170"/>
  <c r="F2" i="105"/>
  <c r="E2" i="105"/>
  <c r="C2" i="105"/>
  <c r="B30" i="140"/>
  <c r="B29" i="140"/>
  <c r="G24" i="140"/>
  <c r="D6" i="152"/>
  <c r="E6" i="152" s="1"/>
  <c r="D5" i="152"/>
  <c r="D4" i="152"/>
  <c r="E4" i="152" s="1"/>
  <c r="A19" i="162"/>
  <c r="B19" i="162"/>
  <c r="BE19" i="162" s="1"/>
  <c r="C49" i="152"/>
  <c r="C10" i="152"/>
  <c r="C55" i="149"/>
  <c r="E20" i="150"/>
  <c r="E19" i="150"/>
  <c r="E10" i="169"/>
  <c r="H23" i="169" s="1"/>
  <c r="H24" i="169" s="1"/>
  <c r="H25" i="169" s="1"/>
  <c r="D45" i="169"/>
  <c r="C45" i="169" s="1"/>
  <c r="D30" i="169"/>
  <c r="H45" i="142"/>
  <c r="I45" i="142"/>
  <c r="J45" i="142"/>
  <c r="G45" i="142"/>
  <c r="G19" i="169"/>
  <c r="F19" i="169"/>
  <c r="G18" i="169"/>
  <c r="H14" i="150"/>
  <c r="H13" i="150"/>
  <c r="E20" i="140"/>
  <c r="F20" i="140"/>
  <c r="C20" i="140"/>
  <c r="I14" i="150"/>
  <c r="B32" i="140"/>
  <c r="N14" i="170"/>
  <c r="P14" i="170"/>
  <c r="T14" i="170"/>
  <c r="V14" i="170"/>
  <c r="W14" i="170"/>
  <c r="X14" i="170"/>
  <c r="A14" i="170"/>
  <c r="B14" i="170"/>
  <c r="M14" i="170" s="1"/>
  <c r="J14" i="105"/>
  <c r="K14" i="105"/>
  <c r="L14" i="105"/>
  <c r="M14" i="105"/>
  <c r="N14" i="105"/>
  <c r="O14" i="105"/>
  <c r="P14" i="105"/>
  <c r="Q14" i="105"/>
  <c r="R14" i="105"/>
  <c r="S14" i="105"/>
  <c r="T14" i="105"/>
  <c r="U14" i="105"/>
  <c r="V14" i="105"/>
  <c r="W14" i="105"/>
  <c r="X14" i="105"/>
  <c r="Y14" i="105"/>
  <c r="Z14" i="105"/>
  <c r="AA14" i="105"/>
  <c r="AB14" i="105"/>
  <c r="AC14" i="105"/>
  <c r="AD14" i="105"/>
  <c r="AE14" i="105"/>
  <c r="AF14" i="105"/>
  <c r="AG14" i="105"/>
  <c r="AH14" i="105"/>
  <c r="AI14" i="105"/>
  <c r="AJ14" i="105"/>
  <c r="AK14" i="105"/>
  <c r="AL14" i="105"/>
  <c r="AM14" i="105"/>
  <c r="AN14" i="105"/>
  <c r="AO14" i="105"/>
  <c r="AP14" i="105"/>
  <c r="AQ14" i="105"/>
  <c r="AR14" i="105"/>
  <c r="AS14" i="105"/>
  <c r="AT14" i="105"/>
  <c r="AU14" i="105"/>
  <c r="I14" i="105"/>
  <c r="A14" i="105"/>
  <c r="B14" i="105"/>
  <c r="AW14" i="105" s="1"/>
  <c r="C60" i="169"/>
  <c r="B98" i="152"/>
  <c r="E45" i="142"/>
  <c r="D45" i="142"/>
  <c r="B45" i="142"/>
  <c r="B5" i="140"/>
  <c r="B4" i="140"/>
  <c r="B12" i="140"/>
  <c r="B31" i="140" s="1"/>
  <c r="AS8" i="159"/>
  <c r="AT8" i="159"/>
  <c r="AU8" i="159"/>
  <c r="AT4" i="159"/>
  <c r="AU4" i="159"/>
  <c r="D12" i="140"/>
  <c r="B22" i="152" s="1"/>
  <c r="C50" i="152" s="1"/>
  <c r="C66" i="152"/>
  <c r="C62" i="152"/>
  <c r="C63" i="149"/>
  <c r="D36" i="149" s="1"/>
  <c r="D16" i="169"/>
  <c r="F30" i="169"/>
  <c r="H30" i="169"/>
  <c r="H29" i="169"/>
  <c r="A83" i="169"/>
  <c r="A84" i="169" s="1"/>
  <c r="D15" i="152"/>
  <c r="L11" i="152"/>
  <c r="L10" i="152"/>
  <c r="H8" i="152"/>
  <c r="D5" i="140"/>
  <c r="B23" i="169" s="1"/>
  <c r="C55" i="169" s="1"/>
  <c r="F56" i="169"/>
  <c r="E5" i="140"/>
  <c r="E9" i="169"/>
  <c r="H11" i="169"/>
  <c r="H10" i="169"/>
  <c r="H12" i="169" s="1"/>
  <c r="H13" i="169" s="1"/>
  <c r="G12" i="169"/>
  <c r="D15" i="169"/>
  <c r="E5" i="169"/>
  <c r="G11" i="169"/>
  <c r="B34" i="170"/>
  <c r="A27" i="170"/>
  <c r="A26" i="170"/>
  <c r="B25" i="170"/>
  <c r="AY25" i="170" s="1"/>
  <c r="A25" i="170"/>
  <c r="B24" i="170"/>
  <c r="AY24" i="170" s="1"/>
  <c r="A24" i="170"/>
  <c r="A23" i="170"/>
  <c r="A22" i="170"/>
  <c r="B20" i="170"/>
  <c r="V20" i="170" s="1"/>
  <c r="A20" i="170"/>
  <c r="A19" i="170"/>
  <c r="A18" i="170"/>
  <c r="A17" i="170"/>
  <c r="A16" i="170"/>
  <c r="A15" i="170"/>
  <c r="B13" i="170"/>
  <c r="H13" i="170" s="1"/>
  <c r="AX13" i="170" s="1"/>
  <c r="A13" i="170"/>
  <c r="A12" i="170"/>
  <c r="A11" i="170"/>
  <c r="A10" i="170"/>
  <c r="A9" i="170"/>
  <c r="B8" i="170"/>
  <c r="AY8" i="170" s="1"/>
  <c r="A8" i="170"/>
  <c r="A7" i="170"/>
  <c r="A6" i="170"/>
  <c r="A5" i="170"/>
  <c r="F4" i="170"/>
  <c r="F1" i="170"/>
  <c r="E1" i="170"/>
  <c r="D1" i="170"/>
  <c r="C1" i="170"/>
  <c r="B105" i="169"/>
  <c r="C87" i="169"/>
  <c r="C79" i="169"/>
  <c r="C68" i="169"/>
  <c r="B22" i="170" s="1"/>
  <c r="C57" i="169"/>
  <c r="C49" i="169"/>
  <c r="C28" i="169"/>
  <c r="A25" i="169"/>
  <c r="B22" i="169"/>
  <c r="B18" i="169"/>
  <c r="B17" i="169"/>
  <c r="C56" i="169" s="1"/>
  <c r="B11" i="169"/>
  <c r="D8" i="169"/>
  <c r="E8" i="169" s="1"/>
  <c r="C8" i="169"/>
  <c r="D7" i="169"/>
  <c r="E7" i="169" s="1"/>
  <c r="C7" i="169"/>
  <c r="C6" i="169"/>
  <c r="B18" i="149"/>
  <c r="B23" i="149"/>
  <c r="AB53" i="168"/>
  <c r="AA53" i="168"/>
  <c r="Z53" i="168"/>
  <c r="C19" i="150"/>
  <c r="D20" i="150"/>
  <c r="C20" i="150" s="1"/>
  <c r="E7" i="140"/>
  <c r="G14" i="150"/>
  <c r="H42" i="150"/>
  <c r="H43" i="150" s="1"/>
  <c r="F21" i="140" l="1"/>
  <c r="E21" i="140" s="1"/>
  <c r="L14" i="170"/>
  <c r="J8" i="170"/>
  <c r="AX8" i="170" s="1"/>
  <c r="AZ8" i="170" s="1"/>
  <c r="S3" i="170"/>
  <c r="T3" i="170" s="1"/>
  <c r="U3" i="170" s="1"/>
  <c r="V3" i="170" s="1"/>
  <c r="W3" i="170" s="1"/>
  <c r="X3" i="170" s="1"/>
  <c r="Y3" i="170" s="1"/>
  <c r="Z3" i="170" s="1"/>
  <c r="AA3" i="170" s="1"/>
  <c r="AB3" i="170" s="1"/>
  <c r="AC3" i="170" s="1"/>
  <c r="AD3" i="170" s="1"/>
  <c r="AE3" i="170" s="1"/>
  <c r="AF3" i="170" s="1"/>
  <c r="AG3" i="170" s="1"/>
  <c r="AH3" i="170" s="1"/>
  <c r="AI3" i="170" s="1"/>
  <c r="AJ3" i="170" s="1"/>
  <c r="AK3" i="170" s="1"/>
  <c r="AL3" i="170" s="1"/>
  <c r="AM3" i="170" s="1"/>
  <c r="AN3" i="170" s="1"/>
  <c r="AO3" i="170" s="1"/>
  <c r="AP3" i="170" s="1"/>
  <c r="AQ3" i="170" s="1"/>
  <c r="AR3" i="170" s="1"/>
  <c r="AS3" i="170" s="1"/>
  <c r="AT3" i="170" s="1"/>
  <c r="AU3" i="170" s="1"/>
  <c r="AV3" i="170" s="1"/>
  <c r="AW3" i="170" s="1"/>
  <c r="U14" i="170"/>
  <c r="S14" i="170"/>
  <c r="R14" i="170"/>
  <c r="Q14" i="170"/>
  <c r="O14" i="170"/>
  <c r="K14" i="170"/>
  <c r="Y19" i="162"/>
  <c r="E5" i="152"/>
  <c r="E10" i="152" s="1"/>
  <c r="D11" i="152" s="1"/>
  <c r="D35" i="152"/>
  <c r="AY14" i="170"/>
  <c r="AV14" i="105"/>
  <c r="AX14" i="105" s="1"/>
  <c r="C55" i="152"/>
  <c r="D17" i="140"/>
  <c r="D20" i="169"/>
  <c r="B20" i="169" s="1"/>
  <c r="D34" i="169" s="1"/>
  <c r="C34" i="169" s="1"/>
  <c r="J12" i="152"/>
  <c r="J13" i="152" s="1"/>
  <c r="M12" i="152" s="1"/>
  <c r="H9" i="152"/>
  <c r="AY13" i="170"/>
  <c r="AZ13" i="170" s="1"/>
  <c r="B30" i="169"/>
  <c r="C30" i="169"/>
  <c r="E16" i="169"/>
  <c r="G5" i="140"/>
  <c r="U20" i="170"/>
  <c r="AX20" i="170" s="1"/>
  <c r="Q25" i="170"/>
  <c r="S25" i="170"/>
  <c r="U25" i="170"/>
  <c r="W25" i="170"/>
  <c r="R25" i="170"/>
  <c r="D24" i="170"/>
  <c r="P25" i="170"/>
  <c r="D17" i="169"/>
  <c r="C17" i="169" s="1"/>
  <c r="B10" i="170"/>
  <c r="K10" i="170" s="1"/>
  <c r="AX10" i="170" s="1"/>
  <c r="F17" i="169"/>
  <c r="AY22" i="170"/>
  <c r="V22" i="170"/>
  <c r="U22" i="170"/>
  <c r="B9" i="170"/>
  <c r="C58" i="169"/>
  <c r="AY20" i="170"/>
  <c r="C24" i="170"/>
  <c r="T25" i="170"/>
  <c r="K24" i="170"/>
  <c r="V25" i="170"/>
  <c r="C11" i="169"/>
  <c r="C51" i="169" s="1"/>
  <c r="G4" i="170"/>
  <c r="AX4" i="170" s="1"/>
  <c r="B11" i="170"/>
  <c r="B18" i="150"/>
  <c r="AX14" i="170" l="1"/>
  <c r="BD19" i="162"/>
  <c r="BF19" i="162" s="1"/>
  <c r="AZ14" i="170"/>
  <c r="D46" i="169"/>
  <c r="B45" i="169"/>
  <c r="AZ20" i="170"/>
  <c r="AX22" i="170"/>
  <c r="AZ22" i="170" s="1"/>
  <c r="F22" i="169"/>
  <c r="F23" i="169" s="1"/>
  <c r="AX25" i="170"/>
  <c r="AZ25" i="170" s="1"/>
  <c r="AX24" i="170"/>
  <c r="AZ24" i="170" s="1"/>
  <c r="B23" i="170"/>
  <c r="AY10" i="170"/>
  <c r="AZ10" i="170" s="1"/>
  <c r="B12" i="170"/>
  <c r="B24" i="169"/>
  <c r="C12" i="169"/>
  <c r="B25" i="169"/>
  <c r="B21" i="169"/>
  <c r="C52" i="169" s="1"/>
  <c r="AY11" i="170"/>
  <c r="U11" i="170"/>
  <c r="T11" i="170"/>
  <c r="AY9" i="170"/>
  <c r="E9" i="170"/>
  <c r="K9" i="170" s="1"/>
  <c r="A25" i="149"/>
  <c r="E4" i="140"/>
  <c r="C50" i="149"/>
  <c r="AA9" i="168"/>
  <c r="AA10" i="168"/>
  <c r="AA13" i="168" s="1"/>
  <c r="AA11" i="168"/>
  <c r="AA12" i="168"/>
  <c r="F11" i="142"/>
  <c r="C14" i="150" s="1"/>
  <c r="C17" i="142"/>
  <c r="D5" i="150"/>
  <c r="E5" i="150" s="1"/>
  <c r="C8" i="142"/>
  <c r="E12" i="140"/>
  <c r="AV12" i="154"/>
  <c r="AV8" i="105"/>
  <c r="C27" i="152"/>
  <c r="C73" i="150"/>
  <c r="B28" i="140"/>
  <c r="B21" i="150"/>
  <c r="D47" i="169" l="1"/>
  <c r="D48" i="169" s="1"/>
  <c r="AY12" i="170"/>
  <c r="I12" i="170"/>
  <c r="J12" i="170"/>
  <c r="E12" i="170"/>
  <c r="G12" i="170"/>
  <c r="F12" i="170"/>
  <c r="H12" i="170"/>
  <c r="D58" i="169"/>
  <c r="D60" i="169"/>
  <c r="D4" i="150"/>
  <c r="E4" i="150" s="1"/>
  <c r="E10" i="150" s="1"/>
  <c r="D6" i="169"/>
  <c r="E6" i="169" s="1"/>
  <c r="E11" i="169" s="1"/>
  <c r="A1" i="105"/>
  <c r="D69" i="169"/>
  <c r="D51" i="169"/>
  <c r="B5" i="170"/>
  <c r="C53" i="169"/>
  <c r="C63" i="169" s="1"/>
  <c r="D71" i="169"/>
  <c r="D70" i="169"/>
  <c r="B26" i="169"/>
  <c r="C65" i="169" s="1"/>
  <c r="B19" i="170" s="1"/>
  <c r="D54" i="169"/>
  <c r="D59" i="169"/>
  <c r="D66" i="169"/>
  <c r="D57" i="169"/>
  <c r="D55" i="169"/>
  <c r="D56" i="169"/>
  <c r="D68" i="169"/>
  <c r="AX9" i="170"/>
  <c r="AZ9" i="170" s="1"/>
  <c r="AX11" i="170"/>
  <c r="AZ11" i="170" s="1"/>
  <c r="B6" i="170"/>
  <c r="D52" i="169"/>
  <c r="AY23" i="170"/>
  <c r="W23" i="170"/>
  <c r="AX23" i="170" s="1"/>
  <c r="C44" i="152"/>
  <c r="C81" i="152"/>
  <c r="C73" i="152"/>
  <c r="B21" i="152"/>
  <c r="C81" i="150"/>
  <c r="C27" i="150"/>
  <c r="C43" i="150"/>
  <c r="A1" i="154"/>
  <c r="C82" i="149"/>
  <c r="C74" i="149"/>
  <c r="B22" i="149"/>
  <c r="C44" i="149"/>
  <c r="C28" i="149"/>
  <c r="BF8" i="162"/>
  <c r="B24" i="154"/>
  <c r="T24" i="154" s="1"/>
  <c r="B19" i="154"/>
  <c r="V19" i="154" s="1"/>
  <c r="B25" i="154"/>
  <c r="N25" i="154" s="1"/>
  <c r="U19" i="154"/>
  <c r="AV19" i="154" s="1"/>
  <c r="B23" i="154"/>
  <c r="D23" i="154" s="1"/>
  <c r="K25" i="154"/>
  <c r="I4" i="154"/>
  <c r="J4" i="154"/>
  <c r="B8" i="154"/>
  <c r="AV8" i="154" s="1"/>
  <c r="B13" i="154"/>
  <c r="AW13" i="154" s="1"/>
  <c r="F4" i="154"/>
  <c r="G4" i="154"/>
  <c r="AV4" i="154" s="1"/>
  <c r="B24" i="105"/>
  <c r="D24" i="105" s="1"/>
  <c r="F4" i="105"/>
  <c r="G4" i="105" s="1"/>
  <c r="AV4" i="105" s="1"/>
  <c r="B13" i="105"/>
  <c r="H13" i="105" s="1"/>
  <c r="AV13" i="105" s="1"/>
  <c r="B25" i="105"/>
  <c r="A77" i="152"/>
  <c r="A78" i="152" s="1"/>
  <c r="A77" i="150"/>
  <c r="A78" i="150" s="1"/>
  <c r="B46" i="150"/>
  <c r="D14" i="150"/>
  <c r="C15" i="150"/>
  <c r="D15" i="150" s="1"/>
  <c r="A78" i="149"/>
  <c r="A79" i="149" s="1"/>
  <c r="C6" i="149"/>
  <c r="C7" i="149"/>
  <c r="C8" i="149"/>
  <c r="D6" i="149"/>
  <c r="D7" i="149"/>
  <c r="D8" i="149"/>
  <c r="C15" i="149"/>
  <c r="D15" i="149" s="1"/>
  <c r="D16" i="149"/>
  <c r="C51" i="150"/>
  <c r="D33" i="150"/>
  <c r="C52" i="149"/>
  <c r="B20" i="105"/>
  <c r="T20" i="105" s="1"/>
  <c r="C52" i="152"/>
  <c r="B22" i="162"/>
  <c r="C22" i="162" s="1"/>
  <c r="B23" i="162"/>
  <c r="H3" i="105"/>
  <c r="U3" i="105" s="1"/>
  <c r="V3" i="105" s="1"/>
  <c r="W3" i="105" s="1"/>
  <c r="X3" i="105" s="1"/>
  <c r="Y3" i="105" s="1"/>
  <c r="Z3" i="105" s="1"/>
  <c r="AA3" i="105" s="1"/>
  <c r="AB3" i="105" s="1"/>
  <c r="AC3" i="105" s="1"/>
  <c r="AD3" i="105" s="1"/>
  <c r="AE3" i="105" s="1"/>
  <c r="AF3" i="105" s="1"/>
  <c r="AG3" i="105" s="1"/>
  <c r="AH3" i="105" s="1"/>
  <c r="AI3" i="105" s="1"/>
  <c r="AJ3" i="105" s="1"/>
  <c r="AK3" i="105" s="1"/>
  <c r="AL3" i="105" s="1"/>
  <c r="AM3" i="105" s="1"/>
  <c r="AN3" i="105" s="1"/>
  <c r="AO3" i="105" s="1"/>
  <c r="AP3" i="105" s="1"/>
  <c r="AQ3" i="105" s="1"/>
  <c r="AR3" i="105" s="1"/>
  <c r="AS3" i="105" s="1"/>
  <c r="AT3" i="105" s="1"/>
  <c r="AU3" i="105" s="1"/>
  <c r="D3" i="159"/>
  <c r="E3" i="159" s="1"/>
  <c r="F3" i="159" s="1"/>
  <c r="G3" i="159" s="1"/>
  <c r="H3" i="159" s="1"/>
  <c r="I3" i="159" s="1"/>
  <c r="J3" i="159" s="1"/>
  <c r="K3" i="159" s="1"/>
  <c r="L3" i="159" s="1"/>
  <c r="M3" i="159" s="1"/>
  <c r="N3" i="159" s="1"/>
  <c r="O3" i="159" s="1"/>
  <c r="P3" i="159" s="1"/>
  <c r="Q3" i="159" s="1"/>
  <c r="R3" i="159" s="1"/>
  <c r="S3" i="159" s="1"/>
  <c r="T3" i="159" s="1"/>
  <c r="U3" i="159" s="1"/>
  <c r="V3" i="159" s="1"/>
  <c r="W3" i="159" s="1"/>
  <c r="X3" i="159" s="1"/>
  <c r="Y3" i="159" s="1"/>
  <c r="Z3" i="159" s="1"/>
  <c r="AA3" i="159" s="1"/>
  <c r="AB3" i="159" s="1"/>
  <c r="AC3" i="159" s="1"/>
  <c r="AD3" i="159" s="1"/>
  <c r="AE3" i="159" s="1"/>
  <c r="AF3" i="159" s="1"/>
  <c r="AG3" i="159" s="1"/>
  <c r="AH3" i="159" s="1"/>
  <c r="AI3" i="159" s="1"/>
  <c r="AJ3" i="159" s="1"/>
  <c r="AK3" i="159" s="1"/>
  <c r="AL3" i="159" s="1"/>
  <c r="AM3" i="159" s="1"/>
  <c r="AN3" i="159" s="1"/>
  <c r="AO3" i="159" s="1"/>
  <c r="AP3" i="159" s="1"/>
  <c r="AQ3" i="159" s="1"/>
  <c r="AR3" i="159" s="1"/>
  <c r="AS3" i="159" s="1"/>
  <c r="AT3" i="159" s="1"/>
  <c r="AU3" i="159" s="1"/>
  <c r="H3" i="154"/>
  <c r="J3" i="154" s="1"/>
  <c r="V3" i="154" s="1"/>
  <c r="W3" i="154" s="1"/>
  <c r="X3" i="154" s="1"/>
  <c r="Y3" i="154" s="1"/>
  <c r="Z3" i="154" s="1"/>
  <c r="AA3" i="154" s="1"/>
  <c r="AB3" i="154" s="1"/>
  <c r="AC3" i="154" s="1"/>
  <c r="AD3" i="154" s="1"/>
  <c r="AE3" i="154" s="1"/>
  <c r="AF3" i="154" s="1"/>
  <c r="AG3" i="154" s="1"/>
  <c r="AH3" i="154" s="1"/>
  <c r="AI3" i="154" s="1"/>
  <c r="AJ3" i="154" s="1"/>
  <c r="AK3" i="154" s="1"/>
  <c r="AL3" i="154" s="1"/>
  <c r="AM3" i="154" s="1"/>
  <c r="AN3" i="154" s="1"/>
  <c r="AO3" i="154" s="1"/>
  <c r="AP3" i="154" s="1"/>
  <c r="AQ3" i="154" s="1"/>
  <c r="AR3" i="154" s="1"/>
  <c r="AS3" i="154" s="1"/>
  <c r="AT3" i="154" s="1"/>
  <c r="AU3" i="154" s="1"/>
  <c r="H3" i="162"/>
  <c r="K3" i="162" s="1"/>
  <c r="F1" i="162"/>
  <c r="E1" i="162"/>
  <c r="D1" i="162"/>
  <c r="C1" i="162"/>
  <c r="F1" i="154"/>
  <c r="E1" i="154"/>
  <c r="D1" i="154"/>
  <c r="C1" i="154"/>
  <c r="F1" i="105"/>
  <c r="E1" i="105"/>
  <c r="D1" i="105"/>
  <c r="C1" i="105"/>
  <c r="B8" i="162"/>
  <c r="J8" i="162" s="1"/>
  <c r="A8" i="162"/>
  <c r="A8" i="154"/>
  <c r="B8" i="105"/>
  <c r="AW8" i="105" s="1"/>
  <c r="AX8" i="105" s="1"/>
  <c r="A8" i="105"/>
  <c r="A24" i="162"/>
  <c r="A23" i="162"/>
  <c r="A22" i="162"/>
  <c r="B21" i="162"/>
  <c r="BE21" i="162" s="1"/>
  <c r="BD21" i="162"/>
  <c r="A21" i="162"/>
  <c r="B20" i="162"/>
  <c r="A20" i="162"/>
  <c r="A18" i="162"/>
  <c r="A17" i="162"/>
  <c r="A16" i="162"/>
  <c r="A15" i="162"/>
  <c r="A14" i="162"/>
  <c r="B13" i="162"/>
  <c r="K13" i="162" s="1"/>
  <c r="BD13" i="162" s="1"/>
  <c r="A13" i="162"/>
  <c r="A12" i="162"/>
  <c r="A11" i="162"/>
  <c r="A10" i="162"/>
  <c r="B9" i="162"/>
  <c r="BE9" i="162" s="1"/>
  <c r="A9" i="162"/>
  <c r="A7" i="162"/>
  <c r="A6" i="162"/>
  <c r="A5" i="162"/>
  <c r="A25" i="162"/>
  <c r="F4" i="162"/>
  <c r="G4" i="162" s="1"/>
  <c r="F2" i="154"/>
  <c r="E2" i="154"/>
  <c r="D2" i="154"/>
  <c r="A25" i="154"/>
  <c r="A24" i="154"/>
  <c r="A23" i="154"/>
  <c r="A22" i="154"/>
  <c r="A21" i="154"/>
  <c r="A20" i="154"/>
  <c r="A19" i="154"/>
  <c r="A18" i="154"/>
  <c r="A17" i="154"/>
  <c r="A16" i="154"/>
  <c r="A15" i="154"/>
  <c r="A14" i="154"/>
  <c r="A13" i="154"/>
  <c r="B12" i="154"/>
  <c r="AW12" i="154" s="1"/>
  <c r="AX12" i="154" s="1"/>
  <c r="A12" i="154"/>
  <c r="A11" i="154"/>
  <c r="A10" i="154"/>
  <c r="A9" i="154"/>
  <c r="A7" i="154"/>
  <c r="A6" i="154"/>
  <c r="A5" i="154"/>
  <c r="A26" i="154"/>
  <c r="D2" i="105"/>
  <c r="F24" i="140"/>
  <c r="E24" i="140"/>
  <c r="D24" i="140"/>
  <c r="C24" i="140"/>
  <c r="G7" i="140"/>
  <c r="F8" i="152"/>
  <c r="AW23" i="154"/>
  <c r="B32" i="162"/>
  <c r="AW25" i="154"/>
  <c r="B16" i="152"/>
  <c r="D14" i="152"/>
  <c r="B10" i="152"/>
  <c r="A27" i="105"/>
  <c r="A26" i="105"/>
  <c r="A25" i="105"/>
  <c r="A24" i="105"/>
  <c r="A23" i="105"/>
  <c r="A22" i="105"/>
  <c r="A21" i="105"/>
  <c r="A20" i="105"/>
  <c r="A19" i="105"/>
  <c r="A18" i="105"/>
  <c r="A17" i="105"/>
  <c r="A16" i="105"/>
  <c r="A15" i="105"/>
  <c r="A13" i="105"/>
  <c r="A12" i="105"/>
  <c r="A11" i="105"/>
  <c r="A10" i="105"/>
  <c r="A9" i="105"/>
  <c r="A7" i="105"/>
  <c r="A6" i="105"/>
  <c r="A5" i="105"/>
  <c r="B22" i="150"/>
  <c r="B20" i="150"/>
  <c r="B24" i="150" s="1"/>
  <c r="B16" i="150"/>
  <c r="C62" i="150" s="1"/>
  <c r="F15" i="150"/>
  <c r="C10" i="150"/>
  <c r="B10" i="150"/>
  <c r="B9" i="105"/>
  <c r="B100" i="149"/>
  <c r="B17" i="149"/>
  <c r="B11" i="149"/>
  <c r="J66" i="142"/>
  <c r="J67" i="142"/>
  <c r="I66" i="142"/>
  <c r="I67" i="142"/>
  <c r="H66" i="142"/>
  <c r="H67" i="142"/>
  <c r="H71" i="142" s="1"/>
  <c r="H72" i="142" s="1"/>
  <c r="G66" i="142"/>
  <c r="G67" i="142" s="1"/>
  <c r="G71" i="142" s="1"/>
  <c r="G72" i="142" s="1"/>
  <c r="J56" i="142"/>
  <c r="J57" i="142" s="1"/>
  <c r="J61" i="142" s="1"/>
  <c r="J62" i="142" s="1"/>
  <c r="I56" i="142"/>
  <c r="I57" i="142"/>
  <c r="H56" i="142"/>
  <c r="H57" i="142"/>
  <c r="G56" i="142"/>
  <c r="G57" i="142"/>
  <c r="G61" i="142" s="1"/>
  <c r="G62" i="142" s="1"/>
  <c r="J46" i="142"/>
  <c r="J47" i="142" s="1"/>
  <c r="J51" i="142" s="1"/>
  <c r="J52" i="142" s="1"/>
  <c r="I46" i="142"/>
  <c r="I47" i="142"/>
  <c r="I51" i="142" s="1"/>
  <c r="I52" i="142" s="1"/>
  <c r="H46" i="142"/>
  <c r="H47" i="142" s="1"/>
  <c r="H51" i="142" s="1"/>
  <c r="H52" i="142" s="1"/>
  <c r="G46" i="142"/>
  <c r="G47" i="142"/>
  <c r="G51" i="142" s="1"/>
  <c r="G52" i="142" s="1"/>
  <c r="J70" i="142"/>
  <c r="I70" i="142"/>
  <c r="H70" i="142"/>
  <c r="G70" i="142"/>
  <c r="J68" i="142"/>
  <c r="I68" i="142"/>
  <c r="H68" i="142"/>
  <c r="G68" i="142"/>
  <c r="J60" i="142"/>
  <c r="I60" i="142"/>
  <c r="H60" i="142"/>
  <c r="G60" i="142"/>
  <c r="J58" i="142"/>
  <c r="I58" i="142"/>
  <c r="H58" i="142"/>
  <c r="G58" i="142"/>
  <c r="J50" i="142"/>
  <c r="I50" i="142"/>
  <c r="H50" i="142"/>
  <c r="G50" i="142"/>
  <c r="J48" i="142"/>
  <c r="I48" i="142"/>
  <c r="H48" i="142"/>
  <c r="G48" i="142"/>
  <c r="E52" i="142"/>
  <c r="E53" i="142" s="1"/>
  <c r="E55" i="142" s="1"/>
  <c r="E56" i="142" s="1"/>
  <c r="D52" i="142"/>
  <c r="D53" i="142"/>
  <c r="D55" i="142" s="1"/>
  <c r="D56" i="142" s="1"/>
  <c r="C52" i="142"/>
  <c r="C53" i="142"/>
  <c r="C55" i="142"/>
  <c r="C56" i="142" s="1"/>
  <c r="B52" i="142"/>
  <c r="B53" i="142" s="1"/>
  <c r="B55" i="142" s="1"/>
  <c r="B56" i="142" s="1"/>
  <c r="E46" i="142"/>
  <c r="E47" i="142" s="1"/>
  <c r="E49" i="142" s="1"/>
  <c r="E50" i="142" s="1"/>
  <c r="D46" i="142"/>
  <c r="D47" i="142"/>
  <c r="D49" i="142" s="1"/>
  <c r="D50" i="142" s="1"/>
  <c r="C46" i="142"/>
  <c r="C47" i="142" s="1"/>
  <c r="C49" i="142" s="1"/>
  <c r="C50" i="142" s="1"/>
  <c r="B46" i="142"/>
  <c r="B47" i="142"/>
  <c r="B49" i="142"/>
  <c r="B50" i="142" s="1"/>
  <c r="E58" i="142"/>
  <c r="E59" i="142"/>
  <c r="E61" i="142"/>
  <c r="E62" i="142" s="1"/>
  <c r="D58" i="142"/>
  <c r="D59" i="142"/>
  <c r="D61" i="142" s="1"/>
  <c r="D62" i="142" s="1"/>
  <c r="C58" i="142"/>
  <c r="C59" i="142"/>
  <c r="C61" i="142"/>
  <c r="C62" i="142" s="1"/>
  <c r="B58" i="142"/>
  <c r="B59" i="142" s="1"/>
  <c r="B61" i="142" s="1"/>
  <c r="B62" i="142" s="1"/>
  <c r="J71" i="142"/>
  <c r="J72" i="142" s="1"/>
  <c r="I71" i="142"/>
  <c r="I72" i="142" s="1"/>
  <c r="H61" i="142"/>
  <c r="H62" i="142" s="1"/>
  <c r="I61" i="142"/>
  <c r="I62" i="142"/>
  <c r="B33" i="154"/>
  <c r="B34" i="105"/>
  <c r="AV12" i="105"/>
  <c r="C51" i="149" l="1"/>
  <c r="D20" i="149"/>
  <c r="B20" i="149" s="1"/>
  <c r="D34" i="149" s="1"/>
  <c r="BE20" i="162"/>
  <c r="U20" i="162"/>
  <c r="T20" i="162"/>
  <c r="W20" i="162"/>
  <c r="V20" i="162"/>
  <c r="X20" i="162" s="1"/>
  <c r="I6" i="170"/>
  <c r="J6" i="170"/>
  <c r="AX12" i="170"/>
  <c r="I5" i="170"/>
  <c r="J5" i="170"/>
  <c r="AZ12" i="170"/>
  <c r="Y23" i="162"/>
  <c r="I3" i="162"/>
  <c r="BF21" i="162"/>
  <c r="C51" i="152"/>
  <c r="F12" i="140"/>
  <c r="C11" i="152"/>
  <c r="BE13" i="162"/>
  <c r="H73" i="142"/>
  <c r="H74" i="142" s="1"/>
  <c r="J53" i="142"/>
  <c r="J54" i="142" s="1"/>
  <c r="I64" i="142"/>
  <c r="H53" i="142"/>
  <c r="H54" i="142" s="1"/>
  <c r="I53" i="142"/>
  <c r="I54" i="142"/>
  <c r="H64" i="142"/>
  <c r="H63" i="142"/>
  <c r="I74" i="142"/>
  <c r="I73" i="142"/>
  <c r="J73" i="142"/>
  <c r="J74" i="142" s="1"/>
  <c r="J63" i="142"/>
  <c r="J64" i="142" s="1"/>
  <c r="I63" i="142"/>
  <c r="G53" i="142"/>
  <c r="G54" i="142" s="1"/>
  <c r="G63" i="142"/>
  <c r="G64" i="142" s="1"/>
  <c r="G73" i="142"/>
  <c r="G74" i="142"/>
  <c r="N19" i="170"/>
  <c r="AY19" i="170"/>
  <c r="D65" i="169"/>
  <c r="D51" i="150"/>
  <c r="C49" i="150"/>
  <c r="B9" i="154" s="1"/>
  <c r="H9" i="154" s="1"/>
  <c r="AV9" i="154" s="1"/>
  <c r="C54" i="150"/>
  <c r="D54" i="150" s="1"/>
  <c r="F7" i="140"/>
  <c r="C50" i="150"/>
  <c r="D50" i="150" s="1"/>
  <c r="D62" i="150"/>
  <c r="D35" i="150"/>
  <c r="D48" i="150"/>
  <c r="D64" i="150"/>
  <c r="D66" i="150"/>
  <c r="D52" i="150"/>
  <c r="D65" i="150"/>
  <c r="D53" i="150"/>
  <c r="D60" i="150"/>
  <c r="H13" i="154"/>
  <c r="AV13" i="154" s="1"/>
  <c r="C46" i="152"/>
  <c r="C53" i="152"/>
  <c r="BF13" i="162"/>
  <c r="Z23" i="162"/>
  <c r="B18" i="152"/>
  <c r="B24" i="152" s="1"/>
  <c r="A30" i="152"/>
  <c r="AA23" i="162"/>
  <c r="BE23" i="162"/>
  <c r="K22" i="162"/>
  <c r="D22" i="162"/>
  <c r="BE22" i="162"/>
  <c r="E9" i="162"/>
  <c r="AW19" i="154"/>
  <c r="AX19" i="154" s="1"/>
  <c r="AW24" i="105"/>
  <c r="D12" i="169"/>
  <c r="D16" i="152"/>
  <c r="D30" i="152" s="1"/>
  <c r="C48" i="152"/>
  <c r="B27" i="169"/>
  <c r="D26" i="169"/>
  <c r="D25" i="169"/>
  <c r="B7" i="170"/>
  <c r="D53" i="169"/>
  <c r="AZ23" i="170"/>
  <c r="C61" i="169"/>
  <c r="C62" i="169" s="1"/>
  <c r="Q6" i="170"/>
  <c r="C6" i="170"/>
  <c r="P6" i="170"/>
  <c r="O6" i="170"/>
  <c r="AY6" i="170"/>
  <c r="N6" i="170"/>
  <c r="M6" i="170"/>
  <c r="X6" i="170"/>
  <c r="L6" i="170"/>
  <c r="W6" i="170"/>
  <c r="K6" i="170"/>
  <c r="V6" i="170"/>
  <c r="H6" i="170"/>
  <c r="U6" i="170"/>
  <c r="G6" i="170"/>
  <c r="T6" i="170"/>
  <c r="F6" i="170"/>
  <c r="S6" i="170"/>
  <c r="E6" i="170"/>
  <c r="R6" i="170"/>
  <c r="D6" i="170"/>
  <c r="B17" i="170"/>
  <c r="D63" i="169"/>
  <c r="R5" i="170"/>
  <c r="D5" i="170"/>
  <c r="Q5" i="170"/>
  <c r="C5" i="170"/>
  <c r="P5" i="170"/>
  <c r="O5" i="170"/>
  <c r="AY5" i="170"/>
  <c r="N5" i="170"/>
  <c r="M5" i="170"/>
  <c r="X5" i="170"/>
  <c r="L5" i="170"/>
  <c r="W5" i="170"/>
  <c r="K5" i="170"/>
  <c r="V5" i="170"/>
  <c r="H5" i="170"/>
  <c r="U5" i="170"/>
  <c r="G5" i="170"/>
  <c r="T5" i="170"/>
  <c r="F5" i="170"/>
  <c r="S5" i="170"/>
  <c r="E5" i="170"/>
  <c r="C53" i="149"/>
  <c r="B12" i="105" s="1"/>
  <c r="AW12" i="105" s="1"/>
  <c r="AX12" i="105" s="1"/>
  <c r="D29" i="152"/>
  <c r="B23" i="152"/>
  <c r="B23" i="150"/>
  <c r="C46" i="150"/>
  <c r="A30" i="150"/>
  <c r="C11" i="150"/>
  <c r="AW24" i="154"/>
  <c r="R24" i="154"/>
  <c r="V24" i="154"/>
  <c r="K23" i="154"/>
  <c r="N24" i="154"/>
  <c r="V25" i="154"/>
  <c r="B21" i="154"/>
  <c r="D11" i="150"/>
  <c r="D29" i="150"/>
  <c r="C45" i="150"/>
  <c r="F17" i="149"/>
  <c r="E7" i="149"/>
  <c r="E9" i="105"/>
  <c r="I9" i="105" s="1"/>
  <c r="AV9" i="105" s="1"/>
  <c r="AW20" i="105"/>
  <c r="G4" i="140"/>
  <c r="A31" i="149"/>
  <c r="AW25" i="105"/>
  <c r="C33" i="150"/>
  <c r="D16" i="150"/>
  <c r="C16" i="150" s="1"/>
  <c r="B11" i="162"/>
  <c r="E8" i="149"/>
  <c r="E5" i="149"/>
  <c r="H4" i="162"/>
  <c r="I4" i="162" s="1"/>
  <c r="AX13" i="154"/>
  <c r="AW8" i="154"/>
  <c r="AX8" i="154" s="1"/>
  <c r="P24" i="154"/>
  <c r="S24" i="154"/>
  <c r="P25" i="154"/>
  <c r="S25" i="154"/>
  <c r="C23" i="154"/>
  <c r="U25" i="154"/>
  <c r="M25" i="154"/>
  <c r="R25" i="154"/>
  <c r="U24" i="154"/>
  <c r="W24" i="154"/>
  <c r="O25" i="154"/>
  <c r="O24" i="154"/>
  <c r="L25" i="154"/>
  <c r="Q25" i="154"/>
  <c r="T25" i="154"/>
  <c r="Q24" i="154"/>
  <c r="D17" i="149"/>
  <c r="D31" i="149" s="1"/>
  <c r="E6" i="149"/>
  <c r="AW13" i="105"/>
  <c r="AX13" i="105" s="1"/>
  <c r="C11" i="149"/>
  <c r="C46" i="149" s="1"/>
  <c r="U25" i="105"/>
  <c r="C24" i="105"/>
  <c r="I24" i="105"/>
  <c r="S20" i="105"/>
  <c r="AV20" i="105" s="1"/>
  <c r="B11" i="105"/>
  <c r="B11" i="154"/>
  <c r="AW9" i="105"/>
  <c r="D49" i="150" l="1"/>
  <c r="BD20" i="162"/>
  <c r="BF20" i="162" s="1"/>
  <c r="AW21" i="154"/>
  <c r="P21" i="154"/>
  <c r="Q21" i="154"/>
  <c r="V21" i="154"/>
  <c r="R21" i="154"/>
  <c r="U21" i="154"/>
  <c r="S21" i="154"/>
  <c r="O21" i="154"/>
  <c r="N21" i="154"/>
  <c r="T21" i="154"/>
  <c r="BE11" i="162"/>
  <c r="S11" i="162"/>
  <c r="BD11" i="162" s="1"/>
  <c r="T11" i="162"/>
  <c r="I7" i="170"/>
  <c r="J7" i="170"/>
  <c r="J4" i="162"/>
  <c r="BD4" i="162" s="1"/>
  <c r="J3" i="162"/>
  <c r="D53" i="152"/>
  <c r="D46" i="152"/>
  <c r="D63" i="152"/>
  <c r="D64" i="152"/>
  <c r="D50" i="152"/>
  <c r="D61" i="152"/>
  <c r="D65" i="152"/>
  <c r="D54" i="152"/>
  <c r="D66" i="152"/>
  <c r="D49" i="152"/>
  <c r="D62" i="152"/>
  <c r="D55" i="152"/>
  <c r="D52" i="152"/>
  <c r="D48" i="152"/>
  <c r="D51" i="152"/>
  <c r="X19" i="170"/>
  <c r="AX19" i="170" s="1"/>
  <c r="AZ19" i="170" s="1"/>
  <c r="G17" i="140"/>
  <c r="B6" i="154"/>
  <c r="K6" i="154" s="1"/>
  <c r="D46" i="150"/>
  <c r="B25" i="150"/>
  <c r="AW9" i="154"/>
  <c r="C47" i="150"/>
  <c r="B7" i="154" s="1"/>
  <c r="D45" i="150"/>
  <c r="BD23" i="162"/>
  <c r="BF23" i="162" s="1"/>
  <c r="BD22" i="162"/>
  <c r="BF22" i="162" s="1"/>
  <c r="B20" i="152"/>
  <c r="D33" i="152" s="1"/>
  <c r="C16" i="152"/>
  <c r="B25" i="152"/>
  <c r="C60" i="152" s="1"/>
  <c r="D60" i="152" s="1"/>
  <c r="D31" i="152"/>
  <c r="D34" i="152" s="1"/>
  <c r="K9" i="162"/>
  <c r="BD9" i="162" s="1"/>
  <c r="BF9" i="162" s="1"/>
  <c r="AV25" i="154"/>
  <c r="B99" i="150"/>
  <c r="B18" i="162"/>
  <c r="B10" i="162"/>
  <c r="D32" i="169"/>
  <c r="B5" i="162"/>
  <c r="B7" i="162"/>
  <c r="C56" i="152"/>
  <c r="D56" i="152" s="1"/>
  <c r="C58" i="152"/>
  <c r="D58" i="152" s="1"/>
  <c r="B16" i="170"/>
  <c r="D62" i="169"/>
  <c r="V17" i="170"/>
  <c r="G17" i="170"/>
  <c r="U17" i="170"/>
  <c r="F17" i="170"/>
  <c r="T17" i="170"/>
  <c r="E17" i="170"/>
  <c r="S17" i="170"/>
  <c r="D17" i="170"/>
  <c r="R17" i="170"/>
  <c r="C17" i="170"/>
  <c r="Q17" i="170"/>
  <c r="P17" i="170"/>
  <c r="O17" i="170"/>
  <c r="N17" i="170"/>
  <c r="M17" i="170"/>
  <c r="AY17" i="170"/>
  <c r="L17" i="170"/>
  <c r="K17" i="170"/>
  <c r="C26" i="169"/>
  <c r="C25" i="169"/>
  <c r="D61" i="169"/>
  <c r="B15" i="170"/>
  <c r="AX5" i="170"/>
  <c r="AZ5" i="170" s="1"/>
  <c r="AX6" i="170"/>
  <c r="AZ6" i="170" s="1"/>
  <c r="P7" i="170"/>
  <c r="O7" i="170"/>
  <c r="AY7" i="170"/>
  <c r="N7" i="170"/>
  <c r="M7" i="170"/>
  <c r="X7" i="170"/>
  <c r="L7" i="170"/>
  <c r="W7" i="170"/>
  <c r="K7" i="170"/>
  <c r="V7" i="170"/>
  <c r="H7" i="170"/>
  <c r="U7" i="170"/>
  <c r="G7" i="170"/>
  <c r="T7" i="170"/>
  <c r="F7" i="170"/>
  <c r="S7" i="170"/>
  <c r="E7" i="170"/>
  <c r="R7" i="170"/>
  <c r="D7" i="170"/>
  <c r="Q7" i="170"/>
  <c r="C7" i="170"/>
  <c r="B25" i="149"/>
  <c r="B21" i="149"/>
  <c r="C47" i="149" s="1"/>
  <c r="B6" i="105" s="1"/>
  <c r="G6" i="105" s="1"/>
  <c r="AV23" i="154"/>
  <c r="AX23" i="154" s="1"/>
  <c r="AV24" i="154"/>
  <c r="AX24" i="154" s="1"/>
  <c r="AX25" i="154"/>
  <c r="AX9" i="154"/>
  <c r="B10" i="154"/>
  <c r="B5" i="154"/>
  <c r="I5" i="154" s="1"/>
  <c r="B29" i="150"/>
  <c r="C29" i="150"/>
  <c r="AX20" i="105"/>
  <c r="C12" i="149"/>
  <c r="C63" i="150"/>
  <c r="D63" i="150" s="1"/>
  <c r="D30" i="150"/>
  <c r="D31" i="150" s="1"/>
  <c r="D34" i="150" s="1"/>
  <c r="E11" i="149"/>
  <c r="D12" i="149" s="1"/>
  <c r="C17" i="149"/>
  <c r="C64" i="149"/>
  <c r="AV25" i="105"/>
  <c r="AX25" i="105" s="1"/>
  <c r="AX9" i="105"/>
  <c r="B24" i="149"/>
  <c r="AV24" i="105"/>
  <c r="AX24" i="105" s="1"/>
  <c r="B22" i="105"/>
  <c r="B10" i="105"/>
  <c r="S11" i="105"/>
  <c r="R11" i="105"/>
  <c r="AW11" i="105"/>
  <c r="S11" i="154"/>
  <c r="T11" i="154"/>
  <c r="AW11" i="154"/>
  <c r="P6" i="154" l="1"/>
  <c r="AV21" i="154"/>
  <c r="AX21" i="154" s="1"/>
  <c r="W7" i="162"/>
  <c r="X7" i="162"/>
  <c r="V7" i="162"/>
  <c r="C55" i="150"/>
  <c r="C56" i="150" s="1"/>
  <c r="D56" i="150" s="1"/>
  <c r="BF11" i="162"/>
  <c r="J15" i="170"/>
  <c r="J27" i="170" s="1"/>
  <c r="J42" i="170" s="1"/>
  <c r="K15" i="170"/>
  <c r="I15" i="170"/>
  <c r="I27" i="170" s="1"/>
  <c r="I42" i="170" s="1"/>
  <c r="S7" i="162"/>
  <c r="T7" i="162"/>
  <c r="U7" i="162"/>
  <c r="T5" i="162"/>
  <c r="U5" i="162"/>
  <c r="S5" i="162"/>
  <c r="Y3" i="162"/>
  <c r="Z3" i="162" s="1"/>
  <c r="AA3" i="162" s="1"/>
  <c r="AB3" i="162" s="1"/>
  <c r="AC3" i="162" s="1"/>
  <c r="AD3" i="162" s="1"/>
  <c r="AE3" i="162" s="1"/>
  <c r="AF3" i="162" s="1"/>
  <c r="AG3" i="162" s="1"/>
  <c r="AH3" i="162" s="1"/>
  <c r="AI3" i="162" s="1"/>
  <c r="AJ3" i="162" s="1"/>
  <c r="AK3" i="162" s="1"/>
  <c r="AL3" i="162" s="1"/>
  <c r="AM3" i="162" s="1"/>
  <c r="AN3" i="162" s="1"/>
  <c r="AO3" i="162" s="1"/>
  <c r="AP3" i="162" s="1"/>
  <c r="AQ3" i="162" s="1"/>
  <c r="AR3" i="162" s="1"/>
  <c r="AS3" i="162" s="1"/>
  <c r="AT3" i="162" s="1"/>
  <c r="AU3" i="162" s="1"/>
  <c r="AV3" i="162" s="1"/>
  <c r="AW3" i="162" s="1"/>
  <c r="AX3" i="162" s="1"/>
  <c r="AY3" i="162" s="1"/>
  <c r="AZ3" i="162" s="1"/>
  <c r="BA3" i="162" s="1"/>
  <c r="BB3" i="162" s="1"/>
  <c r="BC3" i="162" s="1"/>
  <c r="Z7" i="162"/>
  <c r="J7" i="162"/>
  <c r="E5" i="162"/>
  <c r="I5" i="162"/>
  <c r="J5" i="162"/>
  <c r="I7" i="162"/>
  <c r="D51" i="149"/>
  <c r="D55" i="149"/>
  <c r="O6" i="154"/>
  <c r="AW6" i="154"/>
  <c r="M6" i="154"/>
  <c r="T6" i="154"/>
  <c r="C6" i="154"/>
  <c r="Q6" i="154"/>
  <c r="D25" i="150"/>
  <c r="C59" i="150"/>
  <c r="D6" i="154"/>
  <c r="G6" i="154"/>
  <c r="F6" i="154"/>
  <c r="I6" i="154"/>
  <c r="S6" i="154"/>
  <c r="W6" i="154"/>
  <c r="H6" i="154"/>
  <c r="V6" i="154"/>
  <c r="N6" i="154"/>
  <c r="B26" i="150"/>
  <c r="C25" i="150" s="1"/>
  <c r="B34" i="150"/>
  <c r="D36" i="150"/>
  <c r="U6" i="154"/>
  <c r="R6" i="154"/>
  <c r="L6" i="154"/>
  <c r="X6" i="154"/>
  <c r="J6" i="154"/>
  <c r="C57" i="150"/>
  <c r="D47" i="150"/>
  <c r="E6" i="154"/>
  <c r="B26" i="152"/>
  <c r="C25" i="152" s="1"/>
  <c r="D25" i="152"/>
  <c r="C47" i="152"/>
  <c r="D47" i="152" s="1"/>
  <c r="D36" i="152"/>
  <c r="D40" i="152"/>
  <c r="D37" i="152"/>
  <c r="G5" i="162"/>
  <c r="B16" i="162"/>
  <c r="Q5" i="162"/>
  <c r="BE10" i="162"/>
  <c r="K10" i="162"/>
  <c r="BD10" i="162" s="1"/>
  <c r="BE18" i="162"/>
  <c r="N18" i="162"/>
  <c r="BD18" i="162" s="1"/>
  <c r="D40" i="169"/>
  <c r="C67" i="169" s="1"/>
  <c r="B21" i="170" s="1"/>
  <c r="D35" i="169"/>
  <c r="M5" i="162"/>
  <c r="K5" i="162"/>
  <c r="Z5" i="162"/>
  <c r="Q7" i="162"/>
  <c r="R5" i="162"/>
  <c r="E7" i="162"/>
  <c r="L7" i="162"/>
  <c r="F5" i="162"/>
  <c r="P5" i="162"/>
  <c r="O5" i="162"/>
  <c r="Y5" i="162"/>
  <c r="D5" i="162"/>
  <c r="G7" i="162"/>
  <c r="H5" i="162"/>
  <c r="AA5" i="162"/>
  <c r="C5" i="162"/>
  <c r="BE5" i="162"/>
  <c r="D7" i="162"/>
  <c r="N5" i="162"/>
  <c r="L5" i="162"/>
  <c r="O7" i="162"/>
  <c r="K7" i="162"/>
  <c r="P7" i="162"/>
  <c r="H7" i="162"/>
  <c r="BE7" i="162"/>
  <c r="F7" i="162"/>
  <c r="AA7" i="162"/>
  <c r="B14" i="162"/>
  <c r="Y7" i="162"/>
  <c r="N7" i="162"/>
  <c r="R7" i="162"/>
  <c r="C7" i="162"/>
  <c r="M7" i="162"/>
  <c r="T16" i="170"/>
  <c r="E16" i="170"/>
  <c r="S16" i="170"/>
  <c r="D16" i="170"/>
  <c r="D27" i="170" s="1"/>
  <c r="D42" i="170" s="1"/>
  <c r="R16" i="170"/>
  <c r="C16" i="170"/>
  <c r="Q16" i="170"/>
  <c r="P16" i="170"/>
  <c r="O16" i="170"/>
  <c r="N16" i="170"/>
  <c r="M16" i="170"/>
  <c r="AY16" i="170"/>
  <c r="L16" i="170"/>
  <c r="K16" i="170"/>
  <c r="V16" i="170"/>
  <c r="G16" i="170"/>
  <c r="U16" i="170"/>
  <c r="F16" i="170"/>
  <c r="AX17" i="170"/>
  <c r="AZ17" i="170" s="1"/>
  <c r="AX7" i="170"/>
  <c r="AY15" i="170"/>
  <c r="H15" i="170"/>
  <c r="G15" i="170"/>
  <c r="F15" i="170"/>
  <c r="E15" i="170"/>
  <c r="R6" i="105"/>
  <c r="L6" i="105"/>
  <c r="V6" i="105"/>
  <c r="U6" i="105"/>
  <c r="P6" i="105"/>
  <c r="T6" i="105"/>
  <c r="D6" i="105"/>
  <c r="J6" i="105"/>
  <c r="I6" i="105"/>
  <c r="Q6" i="105"/>
  <c r="F6" i="105"/>
  <c r="AW6" i="105"/>
  <c r="K6" i="105"/>
  <c r="S6" i="105"/>
  <c r="O6" i="105"/>
  <c r="N6" i="105"/>
  <c r="E6" i="105"/>
  <c r="H6" i="105"/>
  <c r="C6" i="105"/>
  <c r="M6" i="105"/>
  <c r="W5" i="154"/>
  <c r="X5" i="154"/>
  <c r="F5" i="154"/>
  <c r="U5" i="154"/>
  <c r="O5" i="154"/>
  <c r="R5" i="154"/>
  <c r="V5" i="154"/>
  <c r="G5" i="154"/>
  <c r="K5" i="154"/>
  <c r="N5" i="154"/>
  <c r="J5" i="154"/>
  <c r="H5" i="154"/>
  <c r="P5" i="154"/>
  <c r="L5" i="154"/>
  <c r="S5" i="154"/>
  <c r="Q5" i="154"/>
  <c r="M5" i="154"/>
  <c r="D5" i="154"/>
  <c r="C5" i="154"/>
  <c r="E5" i="154"/>
  <c r="T5" i="154"/>
  <c r="AW5" i="154"/>
  <c r="K10" i="154"/>
  <c r="AW10" i="154"/>
  <c r="B26" i="149"/>
  <c r="D53" i="149"/>
  <c r="D50" i="149"/>
  <c r="D54" i="149"/>
  <c r="D61" i="149"/>
  <c r="D47" i="149"/>
  <c r="D63" i="149"/>
  <c r="D66" i="149"/>
  <c r="D65" i="149"/>
  <c r="D49" i="149"/>
  <c r="D52" i="149"/>
  <c r="B5" i="105"/>
  <c r="E5" i="105" s="1"/>
  <c r="D46" i="149"/>
  <c r="B23" i="105"/>
  <c r="U23" i="105" s="1"/>
  <c r="AV23" i="105" s="1"/>
  <c r="D64" i="149"/>
  <c r="AV11" i="105"/>
  <c r="AX11" i="105" s="1"/>
  <c r="V7" i="154"/>
  <c r="N7" i="154"/>
  <c r="K7" i="154"/>
  <c r="I7" i="154"/>
  <c r="E7" i="154"/>
  <c r="H7" i="154"/>
  <c r="Q7" i="154"/>
  <c r="T7" i="154"/>
  <c r="D7" i="154"/>
  <c r="S7" i="154"/>
  <c r="P7" i="154"/>
  <c r="M7" i="154"/>
  <c r="C7" i="154"/>
  <c r="AW7" i="154"/>
  <c r="L7" i="154"/>
  <c r="J7" i="154"/>
  <c r="X7" i="154"/>
  <c r="W7" i="154"/>
  <c r="R7" i="154"/>
  <c r="U7" i="154"/>
  <c r="O7" i="154"/>
  <c r="G7" i="154"/>
  <c r="F7" i="154"/>
  <c r="D40" i="150"/>
  <c r="C61" i="150" s="1"/>
  <c r="D61" i="150" s="1"/>
  <c r="D37" i="150"/>
  <c r="B22" i="154"/>
  <c r="AV11" i="154"/>
  <c r="C48" i="149"/>
  <c r="D30" i="149"/>
  <c r="I10" i="105"/>
  <c r="AV10" i="105" s="1"/>
  <c r="AW10" i="105"/>
  <c r="T22" i="105"/>
  <c r="S22" i="105"/>
  <c r="AW22" i="105"/>
  <c r="AW22" i="154" l="1"/>
  <c r="W22" i="154"/>
  <c r="AV22" i="154" s="1"/>
  <c r="C60" i="149"/>
  <c r="B19" i="105" s="1"/>
  <c r="AW19" i="105" s="1"/>
  <c r="H23" i="149"/>
  <c r="V16" i="162"/>
  <c r="W16" i="162"/>
  <c r="X16" i="162"/>
  <c r="B14" i="154"/>
  <c r="K14" i="154" s="1"/>
  <c r="D55" i="150"/>
  <c r="U21" i="170"/>
  <c r="V21" i="170"/>
  <c r="AY21" i="170"/>
  <c r="F16" i="162"/>
  <c r="S16" i="162"/>
  <c r="U16" i="162"/>
  <c r="T16" i="162"/>
  <c r="G14" i="162"/>
  <c r="J14" i="162"/>
  <c r="I14" i="162"/>
  <c r="K14" i="162"/>
  <c r="E14" i="162"/>
  <c r="H14" i="162"/>
  <c r="F14" i="162"/>
  <c r="AV6" i="154"/>
  <c r="AX6" i="154" s="1"/>
  <c r="D59" i="150"/>
  <c r="B18" i="154"/>
  <c r="B15" i="154"/>
  <c r="V15" i="154" s="1"/>
  <c r="D57" i="150"/>
  <c r="B16" i="154"/>
  <c r="D38" i="152"/>
  <c r="D41" i="152" s="1"/>
  <c r="D42" i="152" s="1"/>
  <c r="C59" i="152" s="1"/>
  <c r="B6" i="162"/>
  <c r="M16" i="162"/>
  <c r="E16" i="162"/>
  <c r="Q16" i="162"/>
  <c r="K16" i="162"/>
  <c r="R16" i="162"/>
  <c r="C16" i="162"/>
  <c r="N16" i="162"/>
  <c r="BE14" i="162"/>
  <c r="Y16" i="162"/>
  <c r="P16" i="162"/>
  <c r="D16" i="162"/>
  <c r="Z16" i="162"/>
  <c r="AA16" i="162"/>
  <c r="G16" i="162"/>
  <c r="O16" i="162"/>
  <c r="L16" i="162"/>
  <c r="BE16" i="162"/>
  <c r="BD5" i="162"/>
  <c r="BF5" i="162" s="1"/>
  <c r="BF18" i="162"/>
  <c r="BF10" i="162"/>
  <c r="D67" i="169"/>
  <c r="D36" i="169"/>
  <c r="D38" i="169" s="1"/>
  <c r="D41" i="169" s="1"/>
  <c r="D42" i="169" s="1"/>
  <c r="I5" i="140" s="1"/>
  <c r="B35" i="169"/>
  <c r="C35" i="169"/>
  <c r="BD7" i="162"/>
  <c r="BF7" i="162" s="1"/>
  <c r="D25" i="149"/>
  <c r="D26" i="149"/>
  <c r="F27" i="170"/>
  <c r="F42" i="170" s="1"/>
  <c r="G27" i="170"/>
  <c r="G42" i="170" s="1"/>
  <c r="AZ7" i="170"/>
  <c r="AX15" i="170"/>
  <c r="AZ15" i="170" s="1"/>
  <c r="E27" i="170"/>
  <c r="E42" i="170" s="1"/>
  <c r="AX16" i="170"/>
  <c r="AZ16" i="170" s="1"/>
  <c r="C27" i="170"/>
  <c r="AV6" i="105"/>
  <c r="AX6" i="105" s="1"/>
  <c r="C56" i="149"/>
  <c r="O14" i="154"/>
  <c r="S14" i="154"/>
  <c r="G14" i="154"/>
  <c r="Q14" i="154"/>
  <c r="I14" i="154"/>
  <c r="I26" i="154" s="1"/>
  <c r="I41" i="154" s="1"/>
  <c r="H14" i="154"/>
  <c r="H26" i="154" s="1"/>
  <c r="H41" i="154" s="1"/>
  <c r="X26" i="154"/>
  <c r="AV5" i="154"/>
  <c r="AX5" i="154" s="1"/>
  <c r="AV10" i="154"/>
  <c r="AX10" i="154" s="1"/>
  <c r="B27" i="149"/>
  <c r="AW23" i="105"/>
  <c r="AX23" i="105" s="1"/>
  <c r="O5" i="105"/>
  <c r="M5" i="105"/>
  <c r="F5" i="105"/>
  <c r="AW5" i="105"/>
  <c r="G5" i="105"/>
  <c r="K5" i="105"/>
  <c r="J5" i="105"/>
  <c r="U5" i="105"/>
  <c r="P5" i="105"/>
  <c r="D5" i="105"/>
  <c r="C5" i="105"/>
  <c r="Q5" i="105"/>
  <c r="I5" i="105"/>
  <c r="V5" i="105"/>
  <c r="L5" i="105"/>
  <c r="T5" i="105"/>
  <c r="S5" i="105"/>
  <c r="H5" i="105"/>
  <c r="R5" i="105"/>
  <c r="N5" i="105"/>
  <c r="C58" i="149"/>
  <c r="D58" i="149" s="1"/>
  <c r="D48" i="149"/>
  <c r="C34" i="150"/>
  <c r="D38" i="150"/>
  <c r="C40" i="150"/>
  <c r="B40" i="150"/>
  <c r="AV7" i="154"/>
  <c r="B7" i="105"/>
  <c r="N7" i="105" s="1"/>
  <c r="D32" i="149"/>
  <c r="D35" i="149" s="1"/>
  <c r="D37" i="149" s="1"/>
  <c r="AV22" i="105"/>
  <c r="AX22" i="105" s="1"/>
  <c r="AX10" i="105"/>
  <c r="AX11" i="154"/>
  <c r="D60" i="149" l="1"/>
  <c r="W26" i="154"/>
  <c r="W41" i="154" s="1"/>
  <c r="L19" i="105"/>
  <c r="V19" i="105" s="1"/>
  <c r="AV19" i="105" s="1"/>
  <c r="AX19" i="105" s="1"/>
  <c r="AX22" i="154"/>
  <c r="V6" i="162"/>
  <c r="W6" i="162"/>
  <c r="X6" i="162"/>
  <c r="R14" i="154"/>
  <c r="P14" i="154"/>
  <c r="M14" i="154"/>
  <c r="F14" i="154"/>
  <c r="E14" i="154"/>
  <c r="AV14" i="154" s="1"/>
  <c r="AX14" i="154" s="1"/>
  <c r="AW14" i="154"/>
  <c r="J14" i="154"/>
  <c r="N14" i="154"/>
  <c r="L14" i="154"/>
  <c r="AX21" i="170"/>
  <c r="AZ21" i="170" s="1"/>
  <c r="U6" i="162"/>
  <c r="S6" i="162"/>
  <c r="T6" i="162"/>
  <c r="I6" i="162"/>
  <c r="I25" i="162" s="1"/>
  <c r="J6" i="162"/>
  <c r="B17" i="162"/>
  <c r="D59" i="152"/>
  <c r="N15" i="154"/>
  <c r="F15" i="154"/>
  <c r="L18" i="154"/>
  <c r="AW18" i="154"/>
  <c r="R15" i="154"/>
  <c r="O15" i="154"/>
  <c r="S15" i="154"/>
  <c r="T15" i="154"/>
  <c r="K15" i="154"/>
  <c r="L15" i="154"/>
  <c r="M15" i="154"/>
  <c r="Q15" i="154"/>
  <c r="E15" i="154"/>
  <c r="G15" i="154"/>
  <c r="AW15" i="154"/>
  <c r="P15" i="154"/>
  <c r="U15" i="154"/>
  <c r="O16" i="154"/>
  <c r="S16" i="154"/>
  <c r="P16" i="154"/>
  <c r="M16" i="154"/>
  <c r="K16" i="154"/>
  <c r="C16" i="154"/>
  <c r="V16" i="154"/>
  <c r="T16" i="154"/>
  <c r="Q16" i="154"/>
  <c r="AW16" i="154"/>
  <c r="N16" i="154"/>
  <c r="G16" i="154"/>
  <c r="F16" i="154"/>
  <c r="E16" i="154"/>
  <c r="R16" i="154"/>
  <c r="L16" i="154"/>
  <c r="U16" i="154"/>
  <c r="D16" i="154"/>
  <c r="D26" i="154" s="1"/>
  <c r="D41" i="154" s="1"/>
  <c r="B70" i="152"/>
  <c r="B83" i="152"/>
  <c r="B90" i="152" s="1"/>
  <c r="I12" i="140"/>
  <c r="F6" i="162"/>
  <c r="D6" i="162"/>
  <c r="C6" i="162"/>
  <c r="R6" i="162"/>
  <c r="L6" i="162"/>
  <c r="BE6" i="162"/>
  <c r="O6" i="162"/>
  <c r="M6" i="162"/>
  <c r="AA6" i="162"/>
  <c r="Z6" i="162"/>
  <c r="E6" i="162"/>
  <c r="H6" i="162"/>
  <c r="N6" i="162"/>
  <c r="Q6" i="162"/>
  <c r="Y6" i="162"/>
  <c r="P6" i="162"/>
  <c r="G6" i="162"/>
  <c r="K6" i="162"/>
  <c r="B12" i="162"/>
  <c r="C57" i="152"/>
  <c r="D57" i="152" s="1"/>
  <c r="BD16" i="162"/>
  <c r="BF16" i="162" s="1"/>
  <c r="BD14" i="162"/>
  <c r="BF14" i="162" s="1"/>
  <c r="B89" i="169"/>
  <c r="C64" i="169"/>
  <c r="B76" i="169"/>
  <c r="C30" i="170"/>
  <c r="C42" i="170"/>
  <c r="C26" i="149"/>
  <c r="C25" i="149"/>
  <c r="AV5" i="105"/>
  <c r="AX5" i="105" s="1"/>
  <c r="B17" i="105"/>
  <c r="J17" i="105" s="1"/>
  <c r="C57" i="149"/>
  <c r="D56" i="149"/>
  <c r="D38" i="149"/>
  <c r="R7" i="105"/>
  <c r="AX7" i="154"/>
  <c r="B20" i="154"/>
  <c r="D41" i="150"/>
  <c r="B38" i="150"/>
  <c r="C38" i="150"/>
  <c r="G7" i="105"/>
  <c r="M7" i="105"/>
  <c r="Q7" i="105"/>
  <c r="O7" i="105"/>
  <c r="P7" i="105"/>
  <c r="U7" i="105"/>
  <c r="J7" i="105"/>
  <c r="E7" i="105"/>
  <c r="H7" i="105"/>
  <c r="V7" i="105"/>
  <c r="AW7" i="105"/>
  <c r="S7" i="105"/>
  <c r="T7" i="105"/>
  <c r="F7" i="105"/>
  <c r="D7" i="105"/>
  <c r="K7" i="105"/>
  <c r="I7" i="105"/>
  <c r="B15" i="105"/>
  <c r="P15" i="105" s="1"/>
  <c r="L7" i="105"/>
  <c r="C7" i="105"/>
  <c r="D41" i="149"/>
  <c r="Y17" i="162" l="1"/>
  <c r="P17" i="162"/>
  <c r="J25" i="162"/>
  <c r="J40" i="162" s="1"/>
  <c r="I40" i="162"/>
  <c r="BE17" i="162"/>
  <c r="H17" i="162"/>
  <c r="O26" i="154"/>
  <c r="O41" i="154" s="1"/>
  <c r="Q26" i="154"/>
  <c r="Q41" i="154" s="1"/>
  <c r="F26" i="154"/>
  <c r="F41" i="154" s="1"/>
  <c r="V18" i="154"/>
  <c r="AV18" i="154" s="1"/>
  <c r="AX18" i="154" s="1"/>
  <c r="S26" i="154"/>
  <c r="S41" i="154" s="1"/>
  <c r="K26" i="154"/>
  <c r="K41" i="154" s="1"/>
  <c r="T26" i="154"/>
  <c r="T41" i="154" s="1"/>
  <c r="E26" i="154"/>
  <c r="E41" i="154" s="1"/>
  <c r="M26" i="154"/>
  <c r="M41" i="154" s="1"/>
  <c r="AV15" i="154"/>
  <c r="AX15" i="154" s="1"/>
  <c r="G26" i="154"/>
  <c r="G41" i="154" s="1"/>
  <c r="AV16" i="154"/>
  <c r="AX16" i="154" s="1"/>
  <c r="C26" i="154"/>
  <c r="B84" i="152"/>
  <c r="B85" i="152" s="1"/>
  <c r="B91" i="152" s="1"/>
  <c r="BD6" i="162"/>
  <c r="BF6" i="162" s="1"/>
  <c r="K12" i="162"/>
  <c r="G12" i="162"/>
  <c r="F12" i="162"/>
  <c r="BE12" i="162"/>
  <c r="B15" i="162"/>
  <c r="C72" i="169"/>
  <c r="C73" i="169" s="1"/>
  <c r="B77" i="169" s="1"/>
  <c r="D64" i="169"/>
  <c r="B18" i="170"/>
  <c r="B90" i="169"/>
  <c r="B91" i="169" s="1"/>
  <c r="B97" i="169" s="1"/>
  <c r="B96" i="169"/>
  <c r="C37" i="170"/>
  <c r="C31" i="170"/>
  <c r="D57" i="149"/>
  <c r="D39" i="149"/>
  <c r="N17" i="105"/>
  <c r="M17" i="105"/>
  <c r="P17" i="105"/>
  <c r="AW17" i="105"/>
  <c r="F17" i="105"/>
  <c r="I17" i="105"/>
  <c r="T17" i="105"/>
  <c r="O17" i="105"/>
  <c r="K17" i="105"/>
  <c r="D17" i="105"/>
  <c r="L17" i="105"/>
  <c r="G17" i="105"/>
  <c r="E17" i="105"/>
  <c r="C17" i="105"/>
  <c r="R17" i="105"/>
  <c r="B16" i="105"/>
  <c r="J16" i="105" s="1"/>
  <c r="Q17" i="105"/>
  <c r="S17" i="105"/>
  <c r="J15" i="105"/>
  <c r="E15" i="105"/>
  <c r="AW15" i="105"/>
  <c r="M15" i="105"/>
  <c r="H15" i="105"/>
  <c r="N15" i="105"/>
  <c r="S15" i="105"/>
  <c r="G15" i="105"/>
  <c r="L15" i="105"/>
  <c r="K15" i="105"/>
  <c r="F15" i="105"/>
  <c r="Q15" i="105"/>
  <c r="O15" i="105"/>
  <c r="R15" i="105"/>
  <c r="I15" i="105"/>
  <c r="AV7" i="105"/>
  <c r="AX7" i="105" s="1"/>
  <c r="V20" i="154"/>
  <c r="U20" i="154"/>
  <c r="AW20" i="154"/>
  <c r="B41" i="150"/>
  <c r="D42" i="150"/>
  <c r="C58" i="150" s="1"/>
  <c r="D58" i="150" s="1"/>
  <c r="C62" i="149"/>
  <c r="D62" i="149" s="1"/>
  <c r="X15" i="162" l="1"/>
  <c r="X25" i="162" s="1"/>
  <c r="X40" i="162" s="1"/>
  <c r="V15" i="162"/>
  <c r="V25" i="162" s="1"/>
  <c r="V40" i="162" s="1"/>
  <c r="W15" i="162"/>
  <c r="W25" i="162" s="1"/>
  <c r="W40" i="162" s="1"/>
  <c r="T18" i="170"/>
  <c r="R18" i="170"/>
  <c r="P18" i="170"/>
  <c r="L18" i="170"/>
  <c r="H18" i="170"/>
  <c r="S15" i="162"/>
  <c r="T15" i="162"/>
  <c r="U15" i="162"/>
  <c r="BD17" i="162"/>
  <c r="BF17" i="162" s="1"/>
  <c r="H25" i="162"/>
  <c r="H40" i="162" s="1"/>
  <c r="C29" i="154"/>
  <c r="C41" i="154"/>
  <c r="B75" i="169"/>
  <c r="N5" i="140" s="1"/>
  <c r="B74" i="169"/>
  <c r="G15" i="162"/>
  <c r="G25" i="162" s="1"/>
  <c r="G40" i="162" s="1"/>
  <c r="K15" i="162"/>
  <c r="P15" i="162"/>
  <c r="E15" i="162"/>
  <c r="E25" i="162" s="1"/>
  <c r="E40" i="162" s="1"/>
  <c r="C15" i="162"/>
  <c r="F15" i="162"/>
  <c r="F25" i="162" s="1"/>
  <c r="F40" i="162" s="1"/>
  <c r="R15" i="162"/>
  <c r="L15" i="162"/>
  <c r="BE15" i="162"/>
  <c r="AA15" i="162"/>
  <c r="D15" i="162"/>
  <c r="D25" i="162" s="1"/>
  <c r="D40" i="162" s="1"/>
  <c r="Z15" i="162"/>
  <c r="Q15" i="162"/>
  <c r="Y15" i="162"/>
  <c r="O15" i="162"/>
  <c r="N15" i="162"/>
  <c r="M15" i="162"/>
  <c r="BD12" i="162"/>
  <c r="J5" i="140"/>
  <c r="B83" i="169"/>
  <c r="D73" i="169"/>
  <c r="B84" i="169"/>
  <c r="N18" i="170"/>
  <c r="AY18" i="170"/>
  <c r="B26" i="170"/>
  <c r="B27" i="170" s="1"/>
  <c r="D72" i="169"/>
  <c r="B17" i="154"/>
  <c r="C67" i="150"/>
  <c r="D67" i="150" s="1"/>
  <c r="F16" i="105"/>
  <c r="F27" i="105" s="1"/>
  <c r="F42" i="105" s="1"/>
  <c r="AW16" i="105"/>
  <c r="T16" i="105"/>
  <c r="O16" i="105"/>
  <c r="S16" i="105"/>
  <c r="D42" i="149"/>
  <c r="K16" i="105"/>
  <c r="M16" i="105"/>
  <c r="E16" i="105"/>
  <c r="E27" i="105" s="1"/>
  <c r="E42" i="105" s="1"/>
  <c r="N16" i="105"/>
  <c r="L16" i="105"/>
  <c r="D16" i="105"/>
  <c r="D27" i="105" s="1"/>
  <c r="D42" i="105" s="1"/>
  <c r="R16" i="105"/>
  <c r="I16" i="105"/>
  <c r="AV17" i="105"/>
  <c r="AX17" i="105" s="1"/>
  <c r="G16" i="105"/>
  <c r="G27" i="105" s="1"/>
  <c r="G42" i="105" s="1"/>
  <c r="Q16" i="105"/>
  <c r="C16" i="105"/>
  <c r="C27" i="105" s="1"/>
  <c r="P16" i="105"/>
  <c r="AV15" i="105"/>
  <c r="AX15" i="105" s="1"/>
  <c r="AV20" i="154"/>
  <c r="U26" i="154"/>
  <c r="U41" i="154" s="1"/>
  <c r="I7" i="140"/>
  <c r="B83" i="150"/>
  <c r="B70" i="150"/>
  <c r="B21" i="105"/>
  <c r="E8" i="159" l="1"/>
  <c r="G8" i="159"/>
  <c r="P17" i="154"/>
  <c r="P26" i="154" s="1"/>
  <c r="P41" i="154" s="1"/>
  <c r="F8" i="159"/>
  <c r="C30" i="154"/>
  <c r="C36" i="154"/>
  <c r="D8" i="159"/>
  <c r="C25" i="162"/>
  <c r="BD15" i="162"/>
  <c r="BF15" i="162" s="1"/>
  <c r="BF12" i="162"/>
  <c r="AX18" i="170"/>
  <c r="AZ18" i="170" s="1"/>
  <c r="H27" i="170"/>
  <c r="H42" i="170" s="1"/>
  <c r="L5" i="140"/>
  <c r="G71" i="169"/>
  <c r="B85" i="169"/>
  <c r="C85" i="169" s="1"/>
  <c r="G70" i="169"/>
  <c r="B32" i="170"/>
  <c r="B33" i="170" s="1"/>
  <c r="C83" i="169"/>
  <c r="B92" i="169"/>
  <c r="B104" i="169"/>
  <c r="B36" i="170"/>
  <c r="X37" i="170" s="1"/>
  <c r="K5" i="140"/>
  <c r="C84" i="169"/>
  <c r="B93" i="169"/>
  <c r="B31" i="170"/>
  <c r="D30" i="170" s="1"/>
  <c r="D31" i="170" s="1"/>
  <c r="E30" i="170" s="1"/>
  <c r="E37" i="170" s="1"/>
  <c r="M5" i="140"/>
  <c r="B81" i="169"/>
  <c r="R26" i="170"/>
  <c r="R27" i="170" s="1"/>
  <c r="R42" i="170" s="1"/>
  <c r="Q26" i="170"/>
  <c r="Q27" i="170" s="1"/>
  <c r="Q42" i="170" s="1"/>
  <c r="P26" i="170"/>
  <c r="P27" i="170" s="1"/>
  <c r="P42" i="170" s="1"/>
  <c r="O26" i="170"/>
  <c r="O27" i="170" s="1"/>
  <c r="O42" i="170" s="1"/>
  <c r="N26" i="170"/>
  <c r="N27" i="170" s="1"/>
  <c r="N42" i="170" s="1"/>
  <c r="AY26" i="170"/>
  <c r="M26" i="170"/>
  <c r="M27" i="170" s="1"/>
  <c r="M42" i="170" s="1"/>
  <c r="L26" i="170"/>
  <c r="L27" i="170" s="1"/>
  <c r="L42" i="170" s="1"/>
  <c r="K26" i="170"/>
  <c r="V26" i="170"/>
  <c r="V27" i="170" s="1"/>
  <c r="V42" i="170" s="1"/>
  <c r="U26" i="170"/>
  <c r="U27" i="170" s="1"/>
  <c r="U42" i="170" s="1"/>
  <c r="T26" i="170"/>
  <c r="T27" i="170" s="1"/>
  <c r="T42" i="170" s="1"/>
  <c r="S26" i="170"/>
  <c r="S27" i="170" s="1"/>
  <c r="S42" i="170" s="1"/>
  <c r="E79" i="150"/>
  <c r="B78" i="150"/>
  <c r="B71" i="150"/>
  <c r="B75" i="150" s="1"/>
  <c r="B69" i="150"/>
  <c r="R17" i="154"/>
  <c r="R26" i="154" s="1"/>
  <c r="R41" i="154" s="1"/>
  <c r="AW17" i="154"/>
  <c r="AW26" i="154" s="1"/>
  <c r="L17" i="154"/>
  <c r="L26" i="154" s="1"/>
  <c r="L41" i="154" s="1"/>
  <c r="J17" i="154"/>
  <c r="N17" i="154"/>
  <c r="N26" i="154" s="1"/>
  <c r="N41" i="154" s="1"/>
  <c r="B26" i="154"/>
  <c r="B77" i="150"/>
  <c r="G64" i="150" s="1"/>
  <c r="J7" i="140"/>
  <c r="B68" i="150"/>
  <c r="AX20" i="154"/>
  <c r="D43" i="149"/>
  <c r="C30" i="105"/>
  <c r="C31" i="105" s="1"/>
  <c r="C42" i="105"/>
  <c r="AV16" i="105"/>
  <c r="AX16" i="105" s="1"/>
  <c r="B90" i="150"/>
  <c r="B84" i="150"/>
  <c r="B85" i="150" s="1"/>
  <c r="AW21" i="105"/>
  <c r="V17" i="154" l="1"/>
  <c r="V26" i="154" s="1"/>
  <c r="V41" i="154" s="1"/>
  <c r="C28" i="162"/>
  <c r="C40" i="162"/>
  <c r="C8" i="159" s="1"/>
  <c r="B94" i="169"/>
  <c r="B101" i="169" s="1"/>
  <c r="D37" i="170"/>
  <c r="E31" i="170"/>
  <c r="F30" i="170" s="1"/>
  <c r="F37" i="170" s="1"/>
  <c r="AY27" i="170"/>
  <c r="X27" i="170"/>
  <c r="B82" i="169"/>
  <c r="C82" i="169" s="1"/>
  <c r="B28" i="170"/>
  <c r="C81" i="169"/>
  <c r="AX26" i="170"/>
  <c r="AZ26" i="170" s="1"/>
  <c r="K27" i="170"/>
  <c r="K42" i="170" s="1"/>
  <c r="M7" i="140"/>
  <c r="K7" i="140"/>
  <c r="B30" i="154"/>
  <c r="C78" i="150"/>
  <c r="B87" i="150"/>
  <c r="J26" i="154"/>
  <c r="J41" i="154" s="1"/>
  <c r="L7" i="140"/>
  <c r="B31" i="154"/>
  <c r="B32" i="154" s="1"/>
  <c r="B79" i="150"/>
  <c r="B86" i="150"/>
  <c r="B35" i="154" s="1"/>
  <c r="X36" i="154" s="1"/>
  <c r="C77" i="150"/>
  <c r="B98" i="150"/>
  <c r="G65" i="150"/>
  <c r="B71" i="149"/>
  <c r="C59" i="149"/>
  <c r="C67" i="149" s="1"/>
  <c r="I4" i="140"/>
  <c r="I17" i="140" s="1"/>
  <c r="B84" i="149"/>
  <c r="B91" i="149" s="1"/>
  <c r="C37" i="105"/>
  <c r="B91" i="150"/>
  <c r="B27" i="154"/>
  <c r="B28" i="154" s="1"/>
  <c r="C75" i="150"/>
  <c r="B76" i="150"/>
  <c r="C76" i="150" s="1"/>
  <c r="AV17" i="154" l="1"/>
  <c r="C35" i="162"/>
  <c r="C4" i="159" s="1"/>
  <c r="C29" i="162"/>
  <c r="F31" i="170"/>
  <c r="G30" i="170" s="1"/>
  <c r="G37" i="170" s="1"/>
  <c r="B41" i="170"/>
  <c r="X42" i="170" s="1"/>
  <c r="B29" i="170"/>
  <c r="W27" i="170"/>
  <c r="W42" i="170" s="1"/>
  <c r="W8" i="159" s="1"/>
  <c r="AX17" i="154"/>
  <c r="AV26" i="154"/>
  <c r="B88" i="150"/>
  <c r="B95" i="150" s="1"/>
  <c r="C79" i="150"/>
  <c r="AH41" i="154"/>
  <c r="AH8" i="159" s="1"/>
  <c r="AR41" i="154"/>
  <c r="AR8" i="159" s="1"/>
  <c r="AI41" i="154"/>
  <c r="AI8" i="159" s="1"/>
  <c r="AD41" i="154"/>
  <c r="AD8" i="159" s="1"/>
  <c r="AL41" i="154"/>
  <c r="AL8" i="159" s="1"/>
  <c r="AN41" i="154"/>
  <c r="AN8" i="159" s="1"/>
  <c r="AF41" i="154"/>
  <c r="AF8" i="159" s="1"/>
  <c r="D29" i="154"/>
  <c r="AQ41" i="154"/>
  <c r="AQ8" i="159" s="1"/>
  <c r="AO41" i="154"/>
  <c r="AO8" i="159" s="1"/>
  <c r="AG41" i="154"/>
  <c r="AG8" i="159" s="1"/>
  <c r="AK41" i="154"/>
  <c r="AK8" i="159" s="1"/>
  <c r="AC41" i="154"/>
  <c r="AC8" i="159" s="1"/>
  <c r="AP41" i="154"/>
  <c r="AP8" i="159" s="1"/>
  <c r="AB41" i="154"/>
  <c r="AB8" i="159" s="1"/>
  <c r="AE41" i="154"/>
  <c r="AE8" i="159" s="1"/>
  <c r="Z41" i="154"/>
  <c r="Y41" i="154"/>
  <c r="AA41" i="154"/>
  <c r="AJ41" i="154"/>
  <c r="AJ8" i="159" s="1"/>
  <c r="AM41" i="154"/>
  <c r="AM8" i="159" s="1"/>
  <c r="B85" i="149"/>
  <c r="B86" i="149" s="1"/>
  <c r="B92" i="149" s="1"/>
  <c r="B26" i="105"/>
  <c r="D67" i="149"/>
  <c r="B18" i="105"/>
  <c r="D59" i="149"/>
  <c r="C68" i="149"/>
  <c r="B40" i="154"/>
  <c r="X41" i="154" s="1"/>
  <c r="X8" i="159" l="1"/>
  <c r="G31" i="170"/>
  <c r="H30" i="170" s="1"/>
  <c r="B42" i="170"/>
  <c r="B43" i="170" s="1"/>
  <c r="B44" i="170" s="1"/>
  <c r="B103" i="169" s="1"/>
  <c r="AX27" i="170"/>
  <c r="D30" i="154"/>
  <c r="E29" i="154" s="1"/>
  <c r="E36" i="154" s="1"/>
  <c r="D36" i="154"/>
  <c r="L26" i="105"/>
  <c r="J26" i="105"/>
  <c r="P26" i="105"/>
  <c r="Q26" i="105"/>
  <c r="Q27" i="105" s="1"/>
  <c r="Q42" i="105" s="1"/>
  <c r="M26" i="105"/>
  <c r="M27" i="105" s="1"/>
  <c r="M42" i="105" s="1"/>
  <c r="O26" i="105"/>
  <c r="O27" i="105" s="1"/>
  <c r="O42" i="105" s="1"/>
  <c r="AW26" i="105"/>
  <c r="I26" i="105"/>
  <c r="R26" i="105"/>
  <c r="R27" i="105" s="1"/>
  <c r="R42" i="105" s="1"/>
  <c r="K26" i="105"/>
  <c r="K27" i="105" s="1"/>
  <c r="K42" i="105" s="1"/>
  <c r="N26" i="105"/>
  <c r="S26" i="105"/>
  <c r="S27" i="105" s="1"/>
  <c r="S42" i="105" s="1"/>
  <c r="T26" i="105"/>
  <c r="B69" i="149"/>
  <c r="B78" i="149"/>
  <c r="C78" i="149" s="1"/>
  <c r="B79" i="149"/>
  <c r="C79" i="149" s="1"/>
  <c r="J4" i="140"/>
  <c r="D68" i="149"/>
  <c r="B72" i="149"/>
  <c r="B70" i="149"/>
  <c r="H18" i="105"/>
  <c r="AW18" i="105"/>
  <c r="J18" i="105"/>
  <c r="P18" i="105"/>
  <c r="L18" i="105"/>
  <c r="N18" i="105"/>
  <c r="B27" i="105"/>
  <c r="B41" i="154"/>
  <c r="B42" i="154" s="1"/>
  <c r="B43" i="154" s="1"/>
  <c r="B97" i="150" s="1"/>
  <c r="T18" i="105" l="1"/>
  <c r="AV18" i="105" s="1"/>
  <c r="AX18" i="105" s="1"/>
  <c r="H31" i="170"/>
  <c r="H37" i="170"/>
  <c r="L27" i="105"/>
  <c r="L42" i="105" s="1"/>
  <c r="AW27" i="105"/>
  <c r="E30" i="154"/>
  <c r="F29" i="154" s="1"/>
  <c r="F36" i="154" s="1"/>
  <c r="P27" i="105"/>
  <c r="P42" i="105" s="1"/>
  <c r="J27" i="105"/>
  <c r="J42" i="105" s="1"/>
  <c r="J8" i="159" s="1"/>
  <c r="AV26" i="105"/>
  <c r="AX26" i="105" s="1"/>
  <c r="I27" i="105"/>
  <c r="I42" i="105" s="1"/>
  <c r="I8" i="159" s="1"/>
  <c r="N27" i="105"/>
  <c r="N42" i="105" s="1"/>
  <c r="B76" i="149"/>
  <c r="C76" i="149" s="1"/>
  <c r="M4" i="140"/>
  <c r="L4" i="140"/>
  <c r="G66" i="149"/>
  <c r="B99" i="149"/>
  <c r="G65" i="149"/>
  <c r="G67" i="149" s="1"/>
  <c r="B32" i="105"/>
  <c r="B33" i="105" s="1"/>
  <c r="V21" i="105" s="1"/>
  <c r="B87" i="149"/>
  <c r="B80" i="149"/>
  <c r="C80" i="149" s="1"/>
  <c r="B36" i="105"/>
  <c r="V37" i="105" s="1"/>
  <c r="H27" i="105"/>
  <c r="H42" i="105" s="1"/>
  <c r="H8" i="159" s="1"/>
  <c r="B31" i="105"/>
  <c r="D30" i="105" s="1"/>
  <c r="K4" i="140"/>
  <c r="B88" i="149"/>
  <c r="T27" i="105" l="1"/>
  <c r="T42" i="105" s="1"/>
  <c r="K30" i="170"/>
  <c r="K37" i="170" s="1"/>
  <c r="I30" i="170"/>
  <c r="F30" i="154"/>
  <c r="G29" i="154" s="1"/>
  <c r="G36" i="154" s="1"/>
  <c r="B89" i="149"/>
  <c r="B96" i="149" s="1"/>
  <c r="U21" i="105"/>
  <c r="V27" i="105"/>
  <c r="D37" i="105"/>
  <c r="D31" i="105"/>
  <c r="E30" i="105" s="1"/>
  <c r="E37" i="105" s="1"/>
  <c r="B28" i="105"/>
  <c r="B77" i="149"/>
  <c r="C77" i="149" s="1"/>
  <c r="I37" i="170" l="1"/>
  <c r="I31" i="170"/>
  <c r="J30" i="170" s="1"/>
  <c r="J31" i="170" s="1"/>
  <c r="G30" i="154"/>
  <c r="H29" i="154" s="1"/>
  <c r="H36" i="154" s="1"/>
  <c r="E31" i="105"/>
  <c r="F30" i="105" s="1"/>
  <c r="F37" i="105" s="1"/>
  <c r="B29" i="105"/>
  <c r="B41" i="105"/>
  <c r="V42" i="105" s="1"/>
  <c r="V8" i="159" s="1"/>
  <c r="U27" i="105"/>
  <c r="U42" i="105" s="1"/>
  <c r="AV21" i="105"/>
  <c r="K31" i="170" l="1"/>
  <c r="L30" i="170" s="1"/>
  <c r="L37" i="170" s="1"/>
  <c r="J37" i="170"/>
  <c r="H30" i="154"/>
  <c r="I29" i="154" s="1"/>
  <c r="I30" i="154" s="1"/>
  <c r="J29" i="154" s="1"/>
  <c r="J36" i="154" s="1"/>
  <c r="F31" i="105"/>
  <c r="G30" i="105" s="1"/>
  <c r="G31" i="105" s="1"/>
  <c r="H30" i="105" s="1"/>
  <c r="H37" i="105" s="1"/>
  <c r="AX21" i="105"/>
  <c r="AV27" i="105"/>
  <c r="B42" i="105"/>
  <c r="B43" i="105" s="1"/>
  <c r="B44" i="105" s="1"/>
  <c r="L31" i="170" l="1"/>
  <c r="M30" i="170" s="1"/>
  <c r="M37" i="170" s="1"/>
  <c r="J30" i="154"/>
  <c r="K29" i="154" s="1"/>
  <c r="K36" i="154" s="1"/>
  <c r="I36" i="154"/>
  <c r="G37" i="105"/>
  <c r="B98" i="149"/>
  <c r="H31" i="105"/>
  <c r="I30" i="105" s="1"/>
  <c r="I37" i="105" s="1"/>
  <c r="M31" i="170" l="1"/>
  <c r="N30" i="170" s="1"/>
  <c r="N37" i="170" s="1"/>
  <c r="K30" i="154"/>
  <c r="L29" i="154" s="1"/>
  <c r="L36" i="154" s="1"/>
  <c r="I31" i="105"/>
  <c r="J30" i="105" s="1"/>
  <c r="J37" i="105" s="1"/>
  <c r="N31" i="170" l="1"/>
  <c r="O30" i="170" s="1"/>
  <c r="O37" i="170" s="1"/>
  <c r="L30" i="154"/>
  <c r="M29" i="154" s="1"/>
  <c r="M30" i="154" s="1"/>
  <c r="N29" i="154" s="1"/>
  <c r="N36" i="154" s="1"/>
  <c r="J31" i="105"/>
  <c r="K30" i="105" s="1"/>
  <c r="K37" i="105" s="1"/>
  <c r="O31" i="170" l="1"/>
  <c r="P30" i="170" s="1"/>
  <c r="P37" i="170" s="1"/>
  <c r="M36" i="154"/>
  <c r="N30" i="154"/>
  <c r="O29" i="154" s="1"/>
  <c r="O36" i="154" s="1"/>
  <c r="K31" i="105"/>
  <c r="L30" i="105" s="1"/>
  <c r="P31" i="170" l="1"/>
  <c r="Q30" i="170" s="1"/>
  <c r="Q37" i="170" s="1"/>
  <c r="O30" i="154"/>
  <c r="P29" i="154" s="1"/>
  <c r="P36" i="154" s="1"/>
  <c r="L37" i="105"/>
  <c r="L31" i="105"/>
  <c r="M30" i="105" s="1"/>
  <c r="Q31" i="170" l="1"/>
  <c r="R30" i="170" s="1"/>
  <c r="R37" i="170" s="1"/>
  <c r="P30" i="154"/>
  <c r="Q29" i="154" s="1"/>
  <c r="Q36" i="154" s="1"/>
  <c r="M37" i="105"/>
  <c r="M31" i="105"/>
  <c r="N30" i="105" s="1"/>
  <c r="R31" i="170" l="1"/>
  <c r="S30" i="170" s="1"/>
  <c r="S37" i="170" s="1"/>
  <c r="Q30" i="154"/>
  <c r="R29" i="154" s="1"/>
  <c r="R30" i="154" s="1"/>
  <c r="S29" i="154" s="1"/>
  <c r="S36" i="154" s="1"/>
  <c r="N37" i="105"/>
  <c r="N31" i="105"/>
  <c r="O30" i="105" s="1"/>
  <c r="S31" i="170" l="1"/>
  <c r="T30" i="170" s="1"/>
  <c r="T37" i="170" s="1"/>
  <c r="S30" i="154"/>
  <c r="T29" i="154" s="1"/>
  <c r="T36" i="154" s="1"/>
  <c r="R36" i="154"/>
  <c r="O37" i="105"/>
  <c r="O31" i="105"/>
  <c r="P30" i="105" s="1"/>
  <c r="T31" i="170" l="1"/>
  <c r="U30" i="170" s="1"/>
  <c r="U37" i="170" s="1"/>
  <c r="T30" i="154"/>
  <c r="U29" i="154" s="1"/>
  <c r="U36" i="154" s="1"/>
  <c r="P31" i="105"/>
  <c r="Q30" i="105" s="1"/>
  <c r="P37" i="105"/>
  <c r="U31" i="170" l="1"/>
  <c r="V30" i="170" s="1"/>
  <c r="V37" i="170" s="1"/>
  <c r="V31" i="170"/>
  <c r="W30" i="170" s="1"/>
  <c r="W37" i="170" s="1"/>
  <c r="B37" i="170" s="1"/>
  <c r="B38" i="170" s="1"/>
  <c r="B39" i="170" s="1"/>
  <c r="B102" i="169" s="1"/>
  <c r="U30" i="154"/>
  <c r="V29" i="154" s="1"/>
  <c r="V36" i="154" s="1"/>
  <c r="Q37" i="105"/>
  <c r="Q31" i="105"/>
  <c r="R30" i="105" s="1"/>
  <c r="R37" i="105" s="1"/>
  <c r="W31" i="170" l="1"/>
  <c r="X30" i="170" s="1"/>
  <c r="B30" i="170" s="1"/>
  <c r="V30" i="154"/>
  <c r="W29" i="154" s="1"/>
  <c r="W36" i="154" s="1"/>
  <c r="R31" i="105"/>
  <c r="S30" i="105" s="1"/>
  <c r="S37" i="105" s="1"/>
  <c r="X31" i="170" l="1"/>
  <c r="B36" i="154"/>
  <c r="B37" i="154" s="1"/>
  <c r="B38" i="154" s="1"/>
  <c r="B96" i="150" s="1"/>
  <c r="N7" i="140" s="1"/>
  <c r="W30" i="154"/>
  <c r="X29" i="154" s="1"/>
  <c r="B29" i="154" s="1"/>
  <c r="S31" i="105"/>
  <c r="T30" i="105" s="1"/>
  <c r="T37" i="105" s="1"/>
  <c r="X30" i="154" l="1"/>
  <c r="T31" i="105"/>
  <c r="U30" i="105" s="1"/>
  <c r="U37" i="105" s="1"/>
  <c r="B37" i="105" l="1"/>
  <c r="B38" i="105" s="1"/>
  <c r="B39" i="105" s="1"/>
  <c r="B97" i="149" s="1"/>
  <c r="N4" i="140" s="1"/>
  <c r="U31" i="105"/>
  <c r="V30" i="105" s="1"/>
  <c r="B30" i="105" s="1"/>
  <c r="V31" i="105" l="1"/>
  <c r="B24" i="162" l="1"/>
  <c r="C67" i="152"/>
  <c r="D67" i="152" s="1"/>
  <c r="L24" i="162" l="1"/>
  <c r="L25" i="162" s="1"/>
  <c r="L40" i="162" s="1"/>
  <c r="L8" i="159" s="1"/>
  <c r="S24" i="162"/>
  <c r="S25" i="162" s="1"/>
  <c r="S40" i="162" s="1"/>
  <c r="S8" i="159" s="1"/>
  <c r="T24" i="162"/>
  <c r="T25" i="162" s="1"/>
  <c r="T40" i="162" s="1"/>
  <c r="T8" i="159" s="1"/>
  <c r="U24" i="162"/>
  <c r="U25" i="162" s="1"/>
  <c r="U40" i="162" s="1"/>
  <c r="U8" i="159" s="1"/>
  <c r="B69" i="152"/>
  <c r="J12" i="140"/>
  <c r="J17" i="140" s="1"/>
  <c r="B71" i="152"/>
  <c r="B75" i="152" s="1"/>
  <c r="K24" i="162"/>
  <c r="K25" i="162" s="1"/>
  <c r="K40" i="162" s="1"/>
  <c r="K8" i="159" s="1"/>
  <c r="O24" i="162"/>
  <c r="O25" i="162" s="1"/>
  <c r="O40" i="162" s="1"/>
  <c r="O8" i="159" s="1"/>
  <c r="BE24" i="162"/>
  <c r="BE25" i="162" s="1"/>
  <c r="AA24" i="162"/>
  <c r="AA25" i="162" s="1"/>
  <c r="M24" i="162"/>
  <c r="M25" i="162" s="1"/>
  <c r="M40" i="162" s="1"/>
  <c r="M8" i="159" s="1"/>
  <c r="Y24" i="162"/>
  <c r="Y25" i="162" s="1"/>
  <c r="Y40" i="162" s="1"/>
  <c r="Y8" i="159" s="1"/>
  <c r="Q24" i="162"/>
  <c r="Q25" i="162" s="1"/>
  <c r="Q40" i="162" s="1"/>
  <c r="Q8" i="159" s="1"/>
  <c r="P24" i="162"/>
  <c r="P25" i="162" s="1"/>
  <c r="P40" i="162" s="1"/>
  <c r="P8" i="159" s="1"/>
  <c r="B78" i="152"/>
  <c r="K12" i="140" s="1"/>
  <c r="K17" i="140" s="1"/>
  <c r="R24" i="162"/>
  <c r="R25" i="162" s="1"/>
  <c r="R40" i="162" s="1"/>
  <c r="R8" i="159" s="1"/>
  <c r="N24" i="162"/>
  <c r="N25" i="162" s="1"/>
  <c r="N40" i="162" s="1"/>
  <c r="N8" i="159" s="1"/>
  <c r="B25" i="162"/>
  <c r="Z24" i="162"/>
  <c r="Z25" i="162" s="1"/>
  <c r="Z40" i="162" s="1"/>
  <c r="Z8" i="159" s="1"/>
  <c r="B77" i="152"/>
  <c r="L12" i="140" l="1"/>
  <c r="L17" i="140" s="1"/>
  <c r="B97" i="152"/>
  <c r="M12" i="140"/>
  <c r="M17" i="140" s="1"/>
  <c r="N12" i="140"/>
  <c r="B29" i="162"/>
  <c r="D28" i="162" s="1"/>
  <c r="C78" i="152"/>
  <c r="B87" i="152"/>
  <c r="B30" i="162"/>
  <c r="C77" i="152"/>
  <c r="B79" i="152"/>
  <c r="G65" i="152"/>
  <c r="B86" i="152"/>
  <c r="G64" i="152"/>
  <c r="C75" i="152"/>
  <c r="B26" i="162"/>
  <c r="B39" i="162" s="1"/>
  <c r="AA40" i="162" s="1"/>
  <c r="AA8" i="159" s="1"/>
  <c r="AV8" i="159" s="1"/>
  <c r="B76" i="152"/>
  <c r="C76" i="152" s="1"/>
  <c r="BD24" i="162"/>
  <c r="B31" i="162" l="1"/>
  <c r="I28" i="162"/>
  <c r="I35" i="162" s="1"/>
  <c r="I4" i="159" s="1"/>
  <c r="B34" i="162"/>
  <c r="AA35" i="162" s="1"/>
  <c r="AA4" i="159" s="1"/>
  <c r="B88" i="152"/>
  <c r="B95" i="152" s="1"/>
  <c r="C79" i="152"/>
  <c r="D35" i="162"/>
  <c r="D4" i="159" s="1"/>
  <c r="D29" i="162"/>
  <c r="BD25" i="162"/>
  <c r="BF24" i="162"/>
  <c r="B8" i="159"/>
  <c r="B40" i="162"/>
  <c r="B41" i="162" s="1"/>
  <c r="B42" i="162" s="1"/>
  <c r="B27" i="162"/>
  <c r="B9" i="159" l="1"/>
  <c r="B10" i="159" s="1"/>
  <c r="E28" i="162"/>
  <c r="E35" i="162" s="1"/>
  <c r="E4" i="159" s="1"/>
  <c r="E29" i="162" l="1"/>
  <c r="F28" i="162" s="1"/>
  <c r="F35" i="162" s="1"/>
  <c r="F4" i="159" s="1"/>
  <c r="F29" i="162" l="1"/>
  <c r="G28" i="162" s="1"/>
  <c r="G35" i="162" s="1"/>
  <c r="G4" i="159" s="1"/>
  <c r="G29" i="162" l="1"/>
  <c r="H28" i="162" s="1"/>
  <c r="H35" i="162" s="1"/>
  <c r="H4" i="159" s="1"/>
  <c r="H29" i="162" l="1"/>
  <c r="K28" i="162" s="1"/>
  <c r="K35" i="162" s="1"/>
  <c r="K4" i="159" s="1"/>
  <c r="M4" i="159"/>
  <c r="M35" i="162"/>
  <c r="M28" i="162"/>
  <c r="L29" i="162"/>
  <c r="J29" i="162"/>
  <c r="O4" i="159"/>
  <c r="O35" i="162"/>
  <c r="O28" i="162"/>
  <c r="N29" i="162"/>
  <c r="Y4" i="159"/>
  <c r="Y35" i="162"/>
  <c r="Y28" i="162"/>
  <c r="B4" i="159"/>
  <c r="B5" i="159"/>
  <c r="B6" i="159"/>
  <c r="N17" i="140"/>
  <c r="W4" i="159"/>
  <c r="W35" i="162"/>
  <c r="W28" i="162"/>
  <c r="V29" i="162"/>
  <c r="AA28" i="162"/>
  <c r="Z29" i="162"/>
  <c r="Q4" i="159"/>
  <c r="Q35" i="162"/>
  <c r="Q28" i="162"/>
  <c r="P29" i="162"/>
  <c r="P4" i="159"/>
  <c r="P35" i="162"/>
  <c r="P28" i="162"/>
  <c r="O29" i="162"/>
  <c r="Z4" i="159"/>
  <c r="Z35" i="162"/>
  <c r="Z28" i="162"/>
  <c r="Y29" i="162"/>
  <c r="K29" i="162"/>
  <c r="L28" i="162"/>
  <c r="L35" i="162"/>
  <c r="L4" i="159"/>
  <c r="B35" i="162"/>
  <c r="B36" i="162"/>
  <c r="B37" i="162"/>
  <c r="B96" i="152"/>
  <c r="J35" i="162"/>
  <c r="J4" i="159"/>
  <c r="AV4" i="159"/>
  <c r="S4" i="159"/>
  <c r="S35" i="162"/>
  <c r="R29" i="162"/>
  <c r="S28" i="162"/>
  <c r="T29" i="162"/>
  <c r="U28" i="162"/>
  <c r="U35" i="162"/>
  <c r="U4" i="159"/>
  <c r="M29" i="162"/>
  <c r="N28" i="162"/>
  <c r="N35" i="162"/>
  <c r="N4" i="159"/>
  <c r="X4" i="159"/>
  <c r="X35" i="162"/>
  <c r="X28" i="162"/>
  <c r="W29" i="162"/>
  <c r="U29" i="162"/>
  <c r="V28" i="162"/>
  <c r="V35" i="162"/>
  <c r="V4" i="159"/>
  <c r="S29" i="162"/>
  <c r="T28" i="162"/>
  <c r="T35" i="162"/>
  <c r="T4" i="159"/>
  <c r="X29" i="162"/>
  <c r="B28" i="162"/>
  <c r="AA29" i="162"/>
  <c r="I29" i="162"/>
  <c r="J28" i="162"/>
  <c r="Q29" i="162"/>
  <c r="R28" i="162"/>
  <c r="R35" i="162"/>
  <c r="R4" i="1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85" authorId="0" shapeId="0" xr:uid="{3C4A0471-2B2B-4A1B-8A74-9D0C743D7552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4"/>
            <color indexed="81"/>
            <rFont val="Calibri"/>
            <family val="2"/>
          </rPr>
          <t xml:space="preserve">
Need to confirm transfer taxes and brokerage commissions combined are 3% or less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90" authorId="0" shapeId="0" xr:uid="{3388C130-7AB6-478A-B3F0-8CA365B72922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4"/>
            <color indexed="81"/>
            <rFont val="Calibri"/>
            <family val="2"/>
          </rPr>
          <t xml:space="preserve">
Need to confirm transfer taxes and brokerage commissions combined are 3% or less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84" authorId="0" shapeId="0" xr:uid="{9F712155-0D05-4677-939E-4CF5DA04AA15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4"/>
            <color indexed="81"/>
            <rFont val="Calibri"/>
            <family val="2"/>
          </rPr>
          <t xml:space="preserve">
Need to confirm transfer taxes and brokerage commissions combined are 3% or less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84" authorId="0" shapeId="0" xr:uid="{7A5C414E-B734-4BF7-8511-47B8062B5959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4"/>
            <color indexed="81"/>
            <rFont val="Calibri"/>
            <family val="2"/>
          </rPr>
          <t xml:space="preserve">
Need to confirm transfer taxes and brokerage commissions combined are 3% or less</t>
        </r>
      </text>
    </comment>
  </commentList>
</comments>
</file>

<file path=xl/sharedStrings.xml><?xml version="1.0" encoding="utf-8"?>
<sst xmlns="http://schemas.openxmlformats.org/spreadsheetml/2006/main" count="1016" uniqueCount="427">
  <si>
    <t>Key Takeaways</t>
  </si>
  <si>
    <t>Construction Costs</t>
  </si>
  <si>
    <t>Vacant Land Value</t>
  </si>
  <si>
    <t>Multifamily</t>
  </si>
  <si>
    <t>Office</t>
  </si>
  <si>
    <t>Retail</t>
  </si>
  <si>
    <t xml:space="preserve">Indutrial </t>
  </si>
  <si>
    <t>Hospitality</t>
  </si>
  <si>
    <t>Source: Mentor &amp; RMS means</t>
  </si>
  <si>
    <t>Source: Moody's Analytics</t>
  </si>
  <si>
    <t>Land value</t>
  </si>
  <si>
    <t>Market Multifamily Rent PSF NC</t>
  </si>
  <si>
    <t>North Charleston Office Rents PS</t>
  </si>
  <si>
    <t>Neighbourhood Retail Rents</t>
  </si>
  <si>
    <t>North Charleston Industrial Rents</t>
  </si>
  <si>
    <t>Charleston Hotel Revpar (monthly)</t>
  </si>
  <si>
    <t xml:space="preserve">Wood Frame Low Rise </t>
  </si>
  <si>
    <t>Site</t>
  </si>
  <si>
    <t>Sales Price</t>
  </si>
  <si>
    <t>Size</t>
  </si>
  <si>
    <t>$/sqft</t>
  </si>
  <si>
    <t>Market Studio Rent (per Unit)</t>
  </si>
  <si>
    <t>Rent Growth</t>
  </si>
  <si>
    <t>3%-5%</t>
  </si>
  <si>
    <t>5.5%-11.9%</t>
  </si>
  <si>
    <t>2%-19%</t>
  </si>
  <si>
    <t>High Rise</t>
  </si>
  <si>
    <t>0 O'Hear Ave</t>
  </si>
  <si>
    <t>Market 1BR Rent (per Unit)</t>
  </si>
  <si>
    <t>Vacancy</t>
  </si>
  <si>
    <t>Vacancy**</t>
  </si>
  <si>
    <t>Commercial</t>
  </si>
  <si>
    <t>2585 McRitchie Ave</t>
  </si>
  <si>
    <t>Market 2BR Rent (per Unit)</t>
  </si>
  <si>
    <t>Market Absorbtion (SF)</t>
  </si>
  <si>
    <t>40,000-463,000</t>
  </si>
  <si>
    <t>16,000-643,000</t>
  </si>
  <si>
    <t>250,000-2,800,000</t>
  </si>
  <si>
    <t>Market Absorbtion (Rooms)</t>
  </si>
  <si>
    <t>100-1,257</t>
  </si>
  <si>
    <t>Mixed Use Commercial</t>
  </si>
  <si>
    <t>N Hobson Ave</t>
  </si>
  <si>
    <t>Market 3BR Rent (per Unit)</t>
  </si>
  <si>
    <t>Cap Rates</t>
  </si>
  <si>
    <t>7.1%-7.8%</t>
  </si>
  <si>
    <t>6.4%-7.5%</t>
  </si>
  <si>
    <t>6.7%-7.0%</t>
  </si>
  <si>
    <t>7.2%-8.6%</t>
  </si>
  <si>
    <t>Industrial</t>
  </si>
  <si>
    <t>4275 O'Hear Ave</t>
  </si>
  <si>
    <t>6%-9%</t>
  </si>
  <si>
    <t>Landscaping</t>
  </si>
  <si>
    <t>4.2%-6.4%</t>
  </si>
  <si>
    <t>*Revpar - revenue per owned suite</t>
  </si>
  <si>
    <t>Special Purpose e.g. Library</t>
  </si>
  <si>
    <t>Annual Deliveries</t>
  </si>
  <si>
    <t>200-1200</t>
  </si>
  <si>
    <t>**Revpar factors in vacancy</t>
  </si>
  <si>
    <t>Demo Cost incl. grading and prep @ $20</t>
  </si>
  <si>
    <t>Absorption</t>
  </si>
  <si>
    <t>2.1%-8.9%</t>
  </si>
  <si>
    <t xml:space="preserve">Parking Surface </t>
  </si>
  <si>
    <t xml:space="preserve">Parking Above Grade </t>
  </si>
  <si>
    <t>Parking Below Grade</t>
  </si>
  <si>
    <t>Limited Service Hotel</t>
  </si>
  <si>
    <t xml:space="preserve">Full Service Hotel </t>
  </si>
  <si>
    <t>Mulitfamily Rent, Vacancy, and Cap Rates</t>
  </si>
  <si>
    <t>Source: Costar - North Charleston</t>
  </si>
  <si>
    <t>Source: Costar - Charleston</t>
  </si>
  <si>
    <t>Sales Volume</t>
  </si>
  <si>
    <t>Transacted Units</t>
  </si>
  <si>
    <t>Average sales price for Charleston is $235,000/unit</t>
  </si>
  <si>
    <t>Office Rent, Vacancy, and Cap Rates</t>
  </si>
  <si>
    <t>Retail Rent, Vacancy, and Cap Rates</t>
  </si>
  <si>
    <t>Hospitality Rent, Vacancy, and Cap Rates</t>
  </si>
  <si>
    <r>
      <rPr>
        <b/>
        <sz val="10"/>
        <color theme="1"/>
        <rFont val="Arial"/>
        <family val="2"/>
      </rPr>
      <t>TEAM</t>
    </r>
    <r>
      <rPr>
        <sz val="10"/>
        <color theme="1"/>
        <rFont val="Arial"/>
        <family val="2"/>
      </rPr>
      <t xml:space="preserve"> #2023-9157</t>
    </r>
  </si>
  <si>
    <t>Rents, Sales prices, NOI and cap rates</t>
  </si>
  <si>
    <t>Market Rate Housing Rents and Sales Prices</t>
  </si>
  <si>
    <t>Rent per SF(NNN)</t>
  </si>
  <si>
    <t>Exit Assumptions</t>
  </si>
  <si>
    <t>Studio</t>
  </si>
  <si>
    <t>Rents/Month</t>
  </si>
  <si>
    <t>Sale Prices/SF</t>
  </si>
  <si>
    <t>Class A Office</t>
  </si>
  <si>
    <t>Cap Rate</t>
  </si>
  <si>
    <t>Average Size in SF</t>
  </si>
  <si>
    <t>Ground Foor office &amp; retail</t>
  </si>
  <si>
    <t>25-42</t>
  </si>
  <si>
    <t>Affordable Rental</t>
  </si>
  <si>
    <t>Rent or Price PSF</t>
  </si>
  <si>
    <t>Nonprofit Office</t>
  </si>
  <si>
    <t>Market Rate Rental</t>
  </si>
  <si>
    <t>1BR</t>
  </si>
  <si>
    <t>Artists Studios</t>
  </si>
  <si>
    <t>Ground floor retail</t>
  </si>
  <si>
    <t>Parking</t>
  </si>
  <si>
    <t>2BR</t>
  </si>
  <si>
    <t>Traditional retail</t>
  </si>
  <si>
    <t>Sale Costs</t>
  </si>
  <si>
    <t>NOI Calculation</t>
  </si>
  <si>
    <t>Additional Mixed use revenues after parking</t>
  </si>
  <si>
    <t>Leverage Assumptions</t>
  </si>
  <si>
    <t>3BR</t>
  </si>
  <si>
    <t>Suburban retail office</t>
  </si>
  <si>
    <t>Debt percentage</t>
  </si>
  <si>
    <t>Mixed Use Expense Estimate</t>
  </si>
  <si>
    <t>Residential mixed use</t>
  </si>
  <si>
    <t>High Rise Residential</t>
  </si>
  <si>
    <t>Project Cost Estimating parameters</t>
  </si>
  <si>
    <t>Parking Mix</t>
  </si>
  <si>
    <t>Type</t>
  </si>
  <si>
    <t>Basis</t>
  </si>
  <si>
    <t xml:space="preserve">   Parking Ratio Requirements</t>
  </si>
  <si>
    <t xml:space="preserve">     Residential</t>
  </si>
  <si>
    <t>1 space per unit</t>
  </si>
  <si>
    <t xml:space="preserve">     Retail/Office</t>
  </si>
  <si>
    <t>1 space per 300 sf</t>
  </si>
  <si>
    <t>Underground, Structure and Surface</t>
  </si>
  <si>
    <t>Parking Costs</t>
  </si>
  <si>
    <t>See Parking Mix table</t>
  </si>
  <si>
    <t xml:space="preserve">    SF per space(including circulation)</t>
  </si>
  <si>
    <t>Hard Cost Contingency</t>
  </si>
  <si>
    <t xml:space="preserve">    $/space </t>
  </si>
  <si>
    <t xml:space="preserve">  Structured Parking</t>
  </si>
  <si>
    <t>Municipal Fees and Allowances</t>
  </si>
  <si>
    <t>What does the jurisdiction charge?</t>
  </si>
  <si>
    <t xml:space="preserve">  Surface Parking</t>
  </si>
  <si>
    <t>Share of Infrastructure</t>
  </si>
  <si>
    <t>Estimated allocation from FPC</t>
  </si>
  <si>
    <t>Lifts</t>
  </si>
  <si>
    <t>Legal</t>
  </si>
  <si>
    <t>Estimate</t>
  </si>
  <si>
    <t>Land Closing Costs/commissions</t>
  </si>
  <si>
    <t xml:space="preserve">    $/space</t>
  </si>
  <si>
    <t xml:space="preserve">Design </t>
  </si>
  <si>
    <t>Monthly Rent / Space</t>
  </si>
  <si>
    <t>Developer Fee</t>
  </si>
  <si>
    <t xml:space="preserve">    Unbundled rent/space</t>
  </si>
  <si>
    <t>Construction Management Fee</t>
  </si>
  <si>
    <t xml:space="preserve">     Public garage</t>
  </si>
  <si>
    <t>Taxes during construction</t>
  </si>
  <si>
    <t xml:space="preserve">  Affordable </t>
  </si>
  <si>
    <t>Insurance</t>
  </si>
  <si>
    <t xml:space="preserve">  Suburban Surface</t>
  </si>
  <si>
    <t>Marketing, FFE and Preleasing</t>
  </si>
  <si>
    <t>Operating Deficit</t>
  </si>
  <si>
    <t>Commercial Tenant Improvements</t>
  </si>
  <si>
    <t>Retail and office brokerage</t>
  </si>
  <si>
    <t>Construction Loan Origination</t>
  </si>
  <si>
    <t>Construction Interest</t>
  </si>
  <si>
    <t>Affordable Rents--by income and family size</t>
  </si>
  <si>
    <t>Affordable Purchase Prices by income and family size</t>
  </si>
  <si>
    <t>Household size</t>
  </si>
  <si>
    <t>2019 Median Income</t>
  </si>
  <si>
    <t>Low Income: 50% of median</t>
  </si>
  <si>
    <t>Moderate Income: 70% of median</t>
  </si>
  <si>
    <t>30% spent on Housing</t>
  </si>
  <si>
    <t>35% spent on Housing</t>
  </si>
  <si>
    <t xml:space="preserve">  less Utility Allowance</t>
  </si>
  <si>
    <t>Remainder for Rent</t>
  </si>
  <si>
    <t xml:space="preserve">  less Property Insurance</t>
  </si>
  <si>
    <t>Monthly</t>
  </si>
  <si>
    <t xml:space="preserve">  less Property Taxes @ 1.4%</t>
  </si>
  <si>
    <t>Remainder for Mortgage</t>
  </si>
  <si>
    <t>Low Income: 70% of median</t>
  </si>
  <si>
    <t>TOTAL AFFORDABLE PRICE</t>
  </si>
  <si>
    <t>Moderate Income: 100% of median</t>
  </si>
  <si>
    <t>Moderate Income: 110% of median</t>
  </si>
  <si>
    <t>Moderate Income: 120% of median</t>
  </si>
  <si>
    <t>AgroGenesis Development Program</t>
  </si>
  <si>
    <t>Development Component</t>
  </si>
  <si>
    <t>Location of Development Component</t>
  </si>
  <si>
    <t>Area in SF</t>
  </si>
  <si>
    <t>Land Use</t>
  </si>
  <si>
    <t>Residential Units</t>
  </si>
  <si>
    <t>Commercial SF</t>
  </si>
  <si>
    <t>Building Height</t>
  </si>
  <si>
    <t>Value</t>
  </si>
  <si>
    <t>Total Project Costs</t>
  </si>
  <si>
    <t>Equity</t>
  </si>
  <si>
    <t>Debt</t>
  </si>
  <si>
    <t>GAP</t>
  </si>
  <si>
    <t>Leveraged IRR</t>
  </si>
  <si>
    <t>None</t>
  </si>
  <si>
    <t>4 stories</t>
  </si>
  <si>
    <t>284 Hotel rooms
26 For Sale Units</t>
  </si>
  <si>
    <t>South Mixed Use Site</t>
  </si>
  <si>
    <t>5 stories</t>
  </si>
  <si>
    <t>Component E
Water Mission</t>
  </si>
  <si>
    <t>Not Purchasing</t>
  </si>
  <si>
    <t>Component F
DOD Parcel</t>
  </si>
  <si>
    <t>Purchase in 10 Yrs</t>
  </si>
  <si>
    <t>TOTALS</t>
  </si>
  <si>
    <t>Infrastructure Allocation</t>
  </si>
  <si>
    <t>Item</t>
  </si>
  <si>
    <t>Total Cost</t>
  </si>
  <si>
    <t>To Railway Commercial</t>
  </si>
  <si>
    <t>To South Mixed Use Site</t>
  </si>
  <si>
    <t>To Shopping Center &amp; Mixed Income Rentals</t>
  </si>
  <si>
    <t>To Hotel &amp; Library</t>
  </si>
  <si>
    <t>Flood Control: Bioswales</t>
  </si>
  <si>
    <t>South Park</t>
  </si>
  <si>
    <t>TOTAL</t>
  </si>
  <si>
    <t>Schedule</t>
  </si>
  <si>
    <t>Pre-Development</t>
  </si>
  <si>
    <t>Demolition</t>
  </si>
  <si>
    <t>Construction</t>
  </si>
  <si>
    <t>Close-out</t>
  </si>
  <si>
    <t>01/1/26 to 12/31/26</t>
  </si>
  <si>
    <t>1/1/27 to 12/31/28</t>
  </si>
  <si>
    <t>1/1/29 to 6/30/29</t>
  </si>
  <si>
    <t>01/1/24 to 12/31/24</t>
  </si>
  <si>
    <t>1/1/25 to 6/30/25</t>
  </si>
  <si>
    <t>7/1/25 to 6/30/27</t>
  </si>
  <si>
    <t>7/1/27 to 12/31/27</t>
  </si>
  <si>
    <t>01/1/25 to 12/31/25</t>
  </si>
  <si>
    <t>1/1/26 to 6/30/26</t>
  </si>
  <si>
    <t>7/1/26 to 12/31/29</t>
  </si>
  <si>
    <t>1/1/30 to 6/30/30</t>
  </si>
  <si>
    <t>01/1/27 to 12/31/27</t>
  </si>
  <si>
    <t>1/1/28 to 6/30/28</t>
  </si>
  <si>
    <t>7/1/28 to 6/30/31</t>
  </si>
  <si>
    <t>7/1/31 to 12/31/31</t>
  </si>
  <si>
    <t>Development types</t>
  </si>
  <si>
    <t>Configuration</t>
  </si>
  <si>
    <t>Building type</t>
  </si>
  <si>
    <t>Commercial included?</t>
  </si>
  <si>
    <t>Label</t>
  </si>
  <si>
    <t>Return on Cost requirement</t>
  </si>
  <si>
    <t>Typical Construction period</t>
  </si>
  <si>
    <r>
      <rPr>
        <b/>
        <sz val="11"/>
        <color theme="1"/>
        <rFont val="Arial"/>
        <family val="2"/>
      </rPr>
      <t>Rental</t>
    </r>
    <r>
      <rPr>
        <sz val="11"/>
        <color theme="1"/>
        <rFont val="Arial"/>
        <family val="2"/>
      </rPr>
      <t>: Residential Market Rate/Mixed use</t>
    </r>
  </si>
  <si>
    <t>Type III  6 stories</t>
  </si>
  <si>
    <t>Includes Retail and/or office components</t>
  </si>
  <si>
    <t>RES-Market-MU-Rental</t>
  </si>
  <si>
    <t>3 years</t>
  </si>
  <si>
    <r>
      <rPr>
        <b/>
        <sz val="11"/>
        <color theme="1"/>
        <rFont val="Arial"/>
        <family val="2"/>
      </rPr>
      <t>Rental</t>
    </r>
    <r>
      <rPr>
        <sz val="11"/>
        <color theme="1"/>
        <rFont val="Arial"/>
        <family val="2"/>
      </rPr>
      <t>: Retail/office stand alone</t>
    </r>
  </si>
  <si>
    <t>Type V--1 to 2 stories</t>
  </si>
  <si>
    <t>May include Retail and/or office components</t>
  </si>
  <si>
    <t>Suburban retail/office</t>
  </si>
  <si>
    <t>2 years</t>
  </si>
  <si>
    <r>
      <rPr>
        <b/>
        <sz val="11"/>
        <color theme="1"/>
        <rFont val="Arial"/>
        <family val="2"/>
      </rPr>
      <t>Rental</t>
    </r>
    <r>
      <rPr>
        <sz val="11"/>
        <color theme="1"/>
        <rFont val="Arial"/>
        <family val="2"/>
      </rPr>
      <t>: Office stand alone</t>
    </r>
  </si>
  <si>
    <t>Type 5-up to 4 stories  Type III up to 6 stories   Type I--up to 30 stories</t>
  </si>
  <si>
    <t>May include Retail</t>
  </si>
  <si>
    <r>
      <rPr>
        <b/>
        <sz val="11"/>
        <color theme="1"/>
        <rFont val="Arial"/>
        <family val="2"/>
      </rPr>
      <t>Rental</t>
    </r>
    <r>
      <rPr>
        <sz val="11"/>
        <color theme="1"/>
        <rFont val="Arial"/>
        <family val="2"/>
      </rPr>
      <t>: Residential Market Rate</t>
    </r>
  </si>
  <si>
    <t>RES-Market-Rental</t>
  </si>
  <si>
    <t>20% to 30% depending on building type</t>
  </si>
  <si>
    <t>2 years to 3 years</t>
  </si>
  <si>
    <r>
      <rPr>
        <b/>
        <sz val="11"/>
        <color theme="1"/>
        <rFont val="Arial"/>
        <family val="2"/>
      </rPr>
      <t>For Sale</t>
    </r>
    <r>
      <rPr>
        <sz val="11"/>
        <color theme="1"/>
        <rFont val="Arial"/>
        <family val="2"/>
      </rPr>
      <t>: Residential Market Rate</t>
    </r>
  </si>
  <si>
    <t>Type V--low density  Type I-high density</t>
  </si>
  <si>
    <t>RES-Market-Sale</t>
  </si>
  <si>
    <t>20% for low density     30% for high density</t>
  </si>
  <si>
    <t>2 years for low density                      3 years for high density</t>
  </si>
  <si>
    <r>
      <rPr>
        <b/>
        <sz val="11"/>
        <color theme="1"/>
        <rFont val="Arial"/>
        <family val="2"/>
      </rPr>
      <t>Rental</t>
    </r>
    <r>
      <rPr>
        <sz val="11"/>
        <color theme="1"/>
        <rFont val="Arial"/>
        <family val="2"/>
      </rPr>
      <t>: Residential Affordable Mixed use</t>
    </r>
  </si>
  <si>
    <t>Type III--6 stories</t>
  </si>
  <si>
    <t>RES-AFF-MU</t>
  </si>
  <si>
    <r>
      <rPr>
        <b/>
        <sz val="11"/>
        <color theme="1"/>
        <rFont val="Arial"/>
        <family val="2"/>
      </rPr>
      <t>For Sale</t>
    </r>
    <r>
      <rPr>
        <sz val="11"/>
        <color theme="1"/>
        <rFont val="Arial"/>
        <family val="2"/>
      </rPr>
      <t>: Residential Affordable</t>
    </r>
  </si>
  <si>
    <t>RES-AFF</t>
  </si>
  <si>
    <r>
      <t>Hotel: Lodging</t>
    </r>
    <r>
      <rPr>
        <sz val="11"/>
        <color theme="1"/>
        <rFont val="Arial"/>
        <family val="2"/>
      </rPr>
      <t xml:space="preserve"> and amenity income</t>
    </r>
  </si>
  <si>
    <t>Type I-high density</t>
  </si>
  <si>
    <t>HOTEL</t>
  </si>
  <si>
    <r>
      <t xml:space="preserve">Industrial Park:  </t>
    </r>
    <r>
      <rPr>
        <sz val="11"/>
        <color theme="1"/>
        <rFont val="Arial"/>
        <family val="2"/>
      </rPr>
      <t>Warehouse and manufacturing</t>
    </r>
  </si>
  <si>
    <t>Type V or III</t>
  </si>
  <si>
    <t>May include office components</t>
  </si>
  <si>
    <t>20% or 30% depending on building height</t>
  </si>
  <si>
    <t>DEVELOPMENT PLAN</t>
  </si>
  <si>
    <t>Railway Commercial</t>
  </si>
  <si>
    <t>Quick Rent Adjuster</t>
  </si>
  <si>
    <t>For Rent Residential</t>
  </si>
  <si>
    <t># of Units</t>
  </si>
  <si>
    <t>Net Rentable Square Feet (NRSF)</t>
  </si>
  <si>
    <t>$/SF/Mo.</t>
  </si>
  <si>
    <t>Total Annual</t>
  </si>
  <si>
    <t>No Rentals</t>
  </si>
  <si>
    <t>1 bedroom/1 bath</t>
  </si>
  <si>
    <t>2 bedroom/2 bath</t>
  </si>
  <si>
    <t>3 bedroom/3 bath</t>
  </si>
  <si>
    <t>Totals:</t>
  </si>
  <si>
    <t>Averages:</t>
  </si>
  <si>
    <t>COMMERCIAL SPACE</t>
  </si>
  <si>
    <t>Square Feet</t>
  </si>
  <si>
    <t>NNN Rent</t>
  </si>
  <si>
    <t>Total Commercial</t>
  </si>
  <si>
    <t>PARKING</t>
  </si>
  <si>
    <t>Total Parking</t>
  </si>
  <si>
    <t>Fit to Parcel (Layout Calculator)</t>
  </si>
  <si>
    <t>Total Land area</t>
  </si>
  <si>
    <t>Total Leasable SF (residential +commercial)</t>
  </si>
  <si>
    <t>NET OPERATING INCOME</t>
  </si>
  <si>
    <t>INCOME</t>
  </si>
  <si>
    <t>Per Unit</t>
  </si>
  <si>
    <t>$/SF Res</t>
  </si>
  <si>
    <t>Un-Trended</t>
  </si>
  <si>
    <t>Gross Residential Rental Income</t>
  </si>
  <si>
    <t>Commercial RENT</t>
  </si>
  <si>
    <t>Gross Income</t>
  </si>
  <si>
    <t>Other Income</t>
  </si>
  <si>
    <t>$/unit</t>
  </si>
  <si>
    <t>$/SF</t>
  </si>
  <si>
    <t>Parking Income</t>
  </si>
  <si>
    <t>Additional Income</t>
  </si>
  <si>
    <t>Retail Tenant Improvement Amortization</t>
  </si>
  <si>
    <t>Total Other Income</t>
  </si>
  <si>
    <t>Effective Gross Income</t>
  </si>
  <si>
    <t>EXPENSES</t>
  </si>
  <si>
    <t>Per SF</t>
  </si>
  <si>
    <t>Total Operating Expenses</t>
  </si>
  <si>
    <t>Net Operating Income</t>
  </si>
  <si>
    <t>TOTAL PROJECT VALUE</t>
  </si>
  <si>
    <t>Market Cap Rate=</t>
  </si>
  <si>
    <t>PROJECT COSTS</t>
  </si>
  <si>
    <t>BASIS</t>
  </si>
  <si>
    <t xml:space="preserve">   Budget     </t>
  </si>
  <si>
    <t>Hard Costs for Construction</t>
  </si>
  <si>
    <t>Parking stalls</t>
  </si>
  <si>
    <t>LAND</t>
  </si>
  <si>
    <t>Land cost</t>
  </si>
  <si>
    <t>Infrastructure allocation</t>
  </si>
  <si>
    <t>Parcel allocation</t>
  </si>
  <si>
    <t>Taxes</t>
  </si>
  <si>
    <t>Retail Tenant Improvements</t>
  </si>
  <si>
    <t>Retail brokerage</t>
  </si>
  <si>
    <t>Apply % to estimated Debt to avoid circular reference</t>
  </si>
  <si>
    <t>Additional Contingency</t>
  </si>
  <si>
    <t>Total Project Cost</t>
  </si>
  <si>
    <t>Yield on cost</t>
  </si>
  <si>
    <t>Return on cost</t>
  </si>
  <si>
    <t>Negative indicates shortfall</t>
  </si>
  <si>
    <t>FINANCING</t>
  </si>
  <si>
    <t>Total</t>
  </si>
  <si>
    <t>Gap Funding reduction</t>
  </si>
  <si>
    <t>Private financing Amount</t>
  </si>
  <si>
    <t>Total Sources</t>
  </si>
  <si>
    <t>SALES ANALYSIS</t>
  </si>
  <si>
    <t>Untrended</t>
  </si>
  <si>
    <t>Gross Sales Proceeds</t>
  </si>
  <si>
    <t>Net Sales Proceeds</t>
  </si>
  <si>
    <t>LESS: Construction Debt</t>
  </si>
  <si>
    <t>LESS: Investor Equity</t>
  </si>
  <si>
    <t>Net Profit</t>
  </si>
  <si>
    <t>Sales Price per Unit</t>
  </si>
  <si>
    <t>Gross Price</t>
  </si>
  <si>
    <t>Net Price</t>
  </si>
  <si>
    <t>YIELD INDICATORS</t>
  </si>
  <si>
    <t>Equity multiple</t>
  </si>
  <si>
    <t>Leveraged Project IRR</t>
  </si>
  <si>
    <t>UnLeveraged Project IRR</t>
  </si>
  <si>
    <t>Debt Yield</t>
  </si>
  <si>
    <t>Exit Cap Rate</t>
  </si>
  <si>
    <t>Schedule----&gt;</t>
  </si>
  <si>
    <t>Duration----&gt;</t>
  </si>
  <si>
    <t>Predevelopment ends</t>
  </si>
  <si>
    <t>Construction begins</t>
  </si>
  <si>
    <t>Construction ends</t>
  </si>
  <si>
    <t>Close-out begins</t>
  </si>
  <si>
    <t>Close-out ends</t>
  </si>
  <si>
    <t>&lt;---- columns to unhide for longer development period</t>
  </si>
  <si>
    <t>TOTAL EXPENDED</t>
  </si>
  <si>
    <t>TOTAL COST</t>
  </si>
  <si>
    <t>Hard Cost Draw Percentage</t>
  </si>
  <si>
    <t>difference</t>
  </si>
  <si>
    <t>Gap Funding</t>
  </si>
  <si>
    <t>Net Total Private Financing</t>
  </si>
  <si>
    <t>Equity DRAW</t>
  </si>
  <si>
    <t>TOTAL Equity</t>
  </si>
  <si>
    <t>Permanent loan debt</t>
  </si>
  <si>
    <t>Total annual debt service</t>
  </si>
  <si>
    <t>Operating cash flow during closeout</t>
  </si>
  <si>
    <t>Leveraged</t>
  </si>
  <si>
    <t>Net Proceeds from Sale after debt repayment</t>
  </si>
  <si>
    <t>Leveraged Quarterly cash flow</t>
  </si>
  <si>
    <t>Leveraged QUARTERLY IRR</t>
  </si>
  <si>
    <t>Leveraged Annual IRR</t>
  </si>
  <si>
    <t>Unleveraged</t>
  </si>
  <si>
    <t>Total Net proceeds from Sale+GAP FUNDING</t>
  </si>
  <si>
    <t>UNLeveraged QUARTERLY TOTAL Cash flow</t>
  </si>
  <si>
    <t>UNLeveraged QUARTERLY IRR</t>
  </si>
  <si>
    <t>UNLeveraged Annual IRR</t>
  </si>
  <si>
    <t>Hotel &amp; Library</t>
  </si>
  <si>
    <t>Hotel:Revpar/Mo.
For Sale:$sqft</t>
  </si>
  <si>
    <t>Hotel Room</t>
  </si>
  <si>
    <t>For Sale Luxury Condos (2 Bed)</t>
  </si>
  <si>
    <t>$/SQFT</t>
  </si>
  <si>
    <t>Total Sale</t>
  </si>
  <si>
    <t>Library</t>
  </si>
  <si>
    <t>Residential</t>
  </si>
  <si>
    <t>Gross Hotel Income</t>
  </si>
  <si>
    <t>Vacancy incl. in Revpar Calc</t>
  </si>
  <si>
    <t>Sales Income</t>
  </si>
  <si>
    <t>Total Sales</t>
  </si>
  <si>
    <t>Residential Condo Gross Sales Proceeds</t>
  </si>
  <si>
    <t>Library Gross Sales Proceeds</t>
  </si>
  <si>
    <t>225-250</t>
  </si>
  <si>
    <t>Parking stalls (Mix:Covered &amp; Surface)</t>
  </si>
  <si>
    <t>Demolition Begins</t>
  </si>
  <si>
    <t>Demolition Ends</t>
  </si>
  <si>
    <t>2  bedroom/1 bath</t>
  </si>
  <si>
    <t>Parking Income-residential</t>
  </si>
  <si>
    <t>Estimate of residual value</t>
  </si>
  <si>
    <t xml:space="preserve">8-$10 </t>
  </si>
  <si>
    <t>landscaping</t>
  </si>
  <si>
    <t>Apply percentage to estimated Debt to avoid circular reference</t>
  </si>
  <si>
    <t>Demolition begins</t>
  </si>
  <si>
    <t>Demolition ends</t>
  </si>
  <si>
    <t>Construction Ends</t>
  </si>
  <si>
    <t>Closeout begins</t>
  </si>
  <si>
    <t>Closeout ends</t>
  </si>
  <si>
    <t>Leveraged QUARTERLY cash flow</t>
  </si>
  <si>
    <t>Shopping Center &amp; Mixed Income Rentals</t>
  </si>
  <si>
    <t>Town homes for sale</t>
  </si>
  <si>
    <t>Affordable 1 Bedroom</t>
  </si>
  <si>
    <t>Affordable 2 Bedroom</t>
  </si>
  <si>
    <t>Market 2 Bedroom</t>
  </si>
  <si>
    <t>units @1000 sqft</t>
  </si>
  <si>
    <t>aff 1</t>
  </si>
  <si>
    <t>aff 2</t>
  </si>
  <si>
    <t>mkt 2</t>
  </si>
  <si>
    <t>retail</t>
  </si>
  <si>
    <t>comm</t>
  </si>
  <si>
    <t>parking</t>
  </si>
  <si>
    <t>Total Sales SF (residential +commercial)</t>
  </si>
  <si>
    <t>Per SQFT</t>
  </si>
  <si>
    <t>Parking (Mix: Covered and Surface)</t>
  </si>
  <si>
    <t>Leveraged Quarterly IRR</t>
  </si>
  <si>
    <t>ALL Draw-all parcels</t>
  </si>
  <si>
    <t>Quarter----&gt;</t>
  </si>
  <si>
    <t>UNLeveraged Quarterly TOTAL Cash flow</t>
  </si>
  <si>
    <t>UNLeveraged Quarterly 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</si>
</sst>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* #,##0_-;\-* #,##0_-;_-* &quot;-&quot;_-;_-@_-"/>
    <numFmt numFmtId="167" formatCode="_-* #,##0.00_-;\-* #,##0.00_-;_-* &quot;-&quot;??_-;_-@_-"/>
    <numFmt numFmtId="168" formatCode="&quot;$&quot;#,##0.00"/>
    <numFmt numFmtId="169" formatCode="&quot;$&quot;#,##0"/>
    <numFmt numFmtId="170" formatCode="0.0%"/>
    <numFmt numFmtId="171" formatCode="_(* #,##0_);_(* \(#,##0\);_(* &quot;-&quot;??_);_(@_)"/>
    <numFmt numFmtId="172" formatCode="_(&quot;$&quot;* #,##0_);_(&quot;$&quot;* \(#,##0\);_(&quot;$&quot;* &quot;-&quot;??_);_(@_)"/>
    <numFmt numFmtId="173" formatCode="#,##0.0"/>
    <numFmt numFmtId="174" formatCode="0.0"/>
    <numFmt numFmtId="175" formatCode="[$-409]mmm\-yy;@"/>
    <numFmt numFmtId="176" formatCode="&quot;LESS:&quot;\ #%\ \ &quot;Selling Costs&quot;"/>
    <numFmt numFmtId="177" formatCode="&quot;LESS:&quot;\ #%\ &quot;Vacancy&quot;"/>
    <numFmt numFmtId="178" formatCode="&quot;Density=&quot;#\ &quot;Units/Acre&quot;"/>
    <numFmt numFmtId="179" formatCode="##,###&quot; SF&quot;"/>
    <numFmt numFmtId="180" formatCode="###&quot; SF&quot;"/>
    <numFmt numFmtId="181" formatCode="&quot;Studio---&quot;#%"/>
    <numFmt numFmtId="182" formatCode="###\ &quot;Units&quot;"/>
    <numFmt numFmtId="183" formatCode="##%\ \ \ &quot;Debt&quot;"/>
    <numFmt numFmtId="184" formatCode="##%\ \ \ &quot;Equity&quot;"/>
    <numFmt numFmtId="185" formatCode="#.##%\ "/>
    <numFmt numFmtId="186" formatCode="&quot;$&quot;#,##0;\(&quot;$&quot;#,##0\)"/>
    <numFmt numFmtId="187" formatCode="&quot;$&quot;#,##0.0;\(&quot;$&quot;#,##0.0\)"/>
    <numFmt numFmtId="188" formatCode="&quot;$&quot;#,##0.00;\(&quot;$&quot;#,##0.00\)"/>
    <numFmt numFmtId="189" formatCode="0.0_)\%;\(0.0\)\%;0.0_)\%;@_)_%"/>
    <numFmt numFmtId="190" formatCode="#,##0.0_)_%;\(#,##0.0\)_%;0.0_)_%;@_)_%"/>
    <numFmt numFmtId="191" formatCode="#,##0.0_);\(#,##0.0\);#,##0.0_);@_)"/>
    <numFmt numFmtId="192" formatCode="#,##0.0_);\(#,##0.0\)"/>
    <numFmt numFmtId="193" formatCode="&quot;$&quot;_(#,##0.00_);&quot;$&quot;\(#,##0.00\);&quot;$&quot;_(0.00_);@_)"/>
    <numFmt numFmtId="194" formatCode="&quot;$&quot;_(#,##0.00_);&quot;$&quot;\(#,##0.00\)"/>
    <numFmt numFmtId="195" formatCode="&quot;\&quot;_(#,##0.00_);&quot;\&quot;\(#,##0.00\)"/>
    <numFmt numFmtId="196" formatCode="#,##0.00_);\(#,##0.00\);0.00_);@_)"/>
    <numFmt numFmtId="197" formatCode="\€_(#,##0.00_);\€\(#,##0.00\);\€_(0.00_);@_)"/>
    <numFmt numFmtId="198" formatCode="#,##0_)\x;\(#,##0\)\x;0_)\x;@_)_x"/>
    <numFmt numFmtId="199" formatCode="#,##0.0_)\x;\(#,##0.0\)\x"/>
    <numFmt numFmtId="200" formatCode="#,##0_)_x;\(#,##0\)_x;0_)_x;@_)_x"/>
    <numFmt numFmtId="201" formatCode="m/d/yy\ h:mm\ AM/PM"/>
    <numFmt numFmtId="202" formatCode="#,##0.0_)_x;\(#,##0.0\)_x"/>
    <numFmt numFmtId="203" formatCode="0.0_)\%;\(0.0\)\%"/>
    <numFmt numFmtId="204" formatCode="mmmm\ d\,\ yyyy"/>
    <numFmt numFmtId="205" formatCode="#,##0.0_)_%;\(#,##0.0\)_%"/>
    <numFmt numFmtId="206" formatCode="General_)"/>
    <numFmt numFmtId="207" formatCode="0.0\ \x"/>
    <numFmt numFmtId="208" formatCode="&quot;$&quot;#,##0.000_);\(&quot;$&quot;#,##0.000\)"/>
    <numFmt numFmtId="209" formatCode="m\-d\-yy"/>
    <numFmt numFmtId="210" formatCode="#,##0_);\(#,##0\);&quot;- &quot;"/>
    <numFmt numFmtId="211" formatCode="0.0%;\(0.0%\);&quot;- &quot;"/>
    <numFmt numFmtId="212" formatCode="mm/dd/yy_)"/>
    <numFmt numFmtId="213" formatCode="#,##0;\-#,##0;&quot;-&quot;"/>
    <numFmt numFmtId="214" formatCode="#,##0.00;\(#,##0.00"/>
    <numFmt numFmtId="215" formatCode="d\ mmm\ yy"/>
    <numFmt numFmtId="216" formatCode="#,##0.0_);[Red]\(#,##0.0\)"/>
    <numFmt numFmtId="217" formatCode="_(* #,##0.0_);_(* \(#,##0.0\);_(* &quot;-&quot;?_);_(@_)"/>
    <numFmt numFmtId="218" formatCode="#,##0_%_);\(#,##0\)_%;**;@_%_)"/>
    <numFmt numFmtId="219" formatCode="#,##0_%_);\(#,##0\)_%;#,##0_%_);@_%_)"/>
    <numFmt numFmtId="220" formatCode="&quot;$&quot;#,##0\ ;\(&quot;$&quot;#,##0\)"/>
    <numFmt numFmtId="221" formatCode="&quot;$&quot;#,##0.0\ ;\(&quot;$&quot;#,##0.0\)"/>
    <numFmt numFmtId="222" formatCode="0.00\x"/>
    <numFmt numFmtId="223" formatCode="m/d/yyyy\ \ h:mm\ AM/PM"/>
    <numFmt numFmtId="224" formatCode="#,##0;\(#,##0\)"/>
    <numFmt numFmtId="225" formatCode="#,##0.0;\(#,##0.0\)"/>
    <numFmt numFmtId="226" formatCode="\ #,##0.0_);\(#,##0.0\);\-\ \ ??"/>
    <numFmt numFmtId="227" formatCode="&quot;$&quot;#,##0.0_);\(&quot;$&quot;#,##0.0\)"/>
    <numFmt numFmtId="228" formatCode="&quot;$&quot;#,##0.0"/>
    <numFmt numFmtId="229" formatCode="_-* #,##0.00\ [$€-1]_-;\-* #,##0.00\ [$€-1]_-;_-* &quot;-&quot;??\ [$€-1]_-"/>
    <numFmt numFmtId="230" formatCode="00"/>
    <numFmt numFmtId="231" formatCode=";;;"/>
    <numFmt numFmtId="232" formatCode="0.00_)"/>
    <numFmt numFmtId="233" formatCode="mm/yyyy"/>
    <numFmt numFmtId="234" formatCode="&quot;Standard&quot;_);;&quot;Reverse&quot;_)"/>
    <numFmt numFmtId="235" formatCode="#,##0.00&quot; F&quot;_);\(#,##0.00&quot; F&quot;\)"/>
    <numFmt numFmtId="236" formatCode="#,##0&quot; $&quot;;\-#,##0&quot; $&quot;"/>
    <numFmt numFmtId="237" formatCode="_-* #,##0\ _F_-;\-* #,##0\ _F_-;_-* &quot;-&quot;\ _F_-;_-@_-"/>
    <numFmt numFmtId="238" formatCode="_-* #,##0.00\ &quot;F&quot;_-;\-* #,##0.00\ &quot;F&quot;_-;_-* &quot;-&quot;??\ &quot;F&quot;_-;_-@_-"/>
    <numFmt numFmtId="239" formatCode="_-* #,##0\ &quot;Esc.&quot;_-;\-* #,##0\ &quot;Esc.&quot;_-;_-* &quot;-&quot;\ &quot;Esc.&quot;_-;_-@_-"/>
    <numFmt numFmtId="240" formatCode="#,##0.00&quot;$&quot;;[Red]\-#,##0.00&quot;$&quot;"/>
    <numFmt numFmtId="241" formatCode="#,##0&quot; F&quot;_);[Red]\(#,##0&quot; F&quot;\)"/>
    <numFmt numFmtId="242" formatCode="#,##0.00&quot; F&quot;_);[Red]\(#,##0.00&quot; F&quot;\)"/>
    <numFmt numFmtId="243" formatCode="_-* #,##0\ &quot;F&quot;_-;\-* #,##0\ &quot;F&quot;_-;_-* &quot;-&quot;\ &quot;F&quot;_-;_-@_-"/>
    <numFmt numFmtId="244" formatCode="0.0_x_);\(0.0\)_x"/>
    <numFmt numFmtId="245" formatCode="0.0\x_);\(0.0\x\)"/>
    <numFmt numFmtId="246" formatCode="0.0\x_)_);&quot;NM&quot;_x_)_);0.0\x_)_);@_%_)"/>
    <numFmt numFmtId="247" formatCode="_(* #,##0.0000_);_(* \(#,##0.0000\);_(* &quot;-&quot;??_);_(@_)"/>
    <numFmt numFmtId="248" formatCode="0.0%;\(0.0%\)"/>
    <numFmt numFmtId="249" formatCode="#,##0_ "/>
    <numFmt numFmtId="250" formatCode="&quot;$&quot;#,##0.00_);\(&quot;$&quot;#,##0.00\);\-\ ??"/>
    <numFmt numFmtId="251" formatCode="[&lt;=9999999]###\-####;\(###\)\ ###\-####"/>
    <numFmt numFmtId="252" formatCode="#,##0.0\%_);\(#,##0.0\%\);#,##0.0\%_);@_%_)"/>
    <numFmt numFmtId="253" formatCode="#,##0.0_x\);\(#,##0.0\)"/>
    <numFmt numFmtId="254" formatCode="_(&quot;$&quot;* #,##0.0000000000000_);_(&quot;$&quot;* \(#,##0.0000000000000\);_(&quot;$&quot;* &quot;-&quot;??_);_(@_)"/>
    <numFmt numFmtId="255" formatCode="_-* #,##0\ _E_s_c_._-;\-* #,##0\ _E_s_c_._-;_-* &quot;-&quot;\ _E_s_c_._-;_-@_-"/>
    <numFmt numFmtId="256" formatCode="_(&quot;$&quot;* #,##0.000_);_(&quot;$&quot;* \(#,##0.000\);_(&quot;$&quot;* &quot;-&quot;??_);_(@_)"/>
    <numFmt numFmtId="257" formatCode="_-&quot;L.&quot;\ * #,##0_-;\-&quot;L.&quot;\ * #,##0_-;_-&quot;L.&quot;\ * &quot;-&quot;_-;_-@_-"/>
    <numFmt numFmtId="258" formatCode="_-&quot;L.&quot;\ * #,##0.00_-;\-&quot;L.&quot;\ * #,##0.00_-;_-&quot;L.&quot;\ * &quot;-&quot;??_-;_-@_-"/>
    <numFmt numFmtId="259" formatCode="0\ \ ;\(0\)\ \ \ "/>
    <numFmt numFmtId="260" formatCode="&quot;Yes&quot;;;&quot;No&quot;"/>
    <numFmt numFmtId="261" formatCode="#,###\ &quot;SF Retail Income&quot;"/>
    <numFmt numFmtId="262" formatCode="##%\ &quot;of GMP costs&quot;"/>
    <numFmt numFmtId="263" formatCode="&quot;$&quot;##,###\ &quot;per unit&quot;"/>
    <numFmt numFmtId="264" formatCode="##%\ &quot;of total hard costs&quot;"/>
    <numFmt numFmtId="265" formatCode="&quot;$&quot;###\ &quot;per SF of retail&quot;"/>
    <numFmt numFmtId="266" formatCode="##.00%\ &quot;of loan amount&quot;"/>
    <numFmt numFmtId="267" formatCode="&quot;Residual land value at&quot;\ ##%\ &quot;ROC&quot;"/>
    <numFmt numFmtId="268" formatCode="&quot;$&quot;###\ &quot;per SF net leasable&quot;"/>
    <numFmt numFmtId="269" formatCode="#\ &quot;Months of OPEX&quot;"/>
    <numFmt numFmtId="270" formatCode="#.#%\ &quot;of soft costs&quot;"/>
    <numFmt numFmtId="271" formatCode="#%\ &quot;on a five year term&quot;"/>
    <numFmt numFmtId="272" formatCode="##%\ &quot;of Project Budget&quot;"/>
    <numFmt numFmtId="273" formatCode="&quot;$&quot;##,###\ &quot;per stall&quot;"/>
    <numFmt numFmtId="274" formatCode="&quot;Gap at&quot;\ ##%"/>
    <numFmt numFmtId="275" formatCode="##.0%\ &quot;of gross revenue&quot;"/>
    <numFmt numFmtId="276" formatCode="##%\ &quot;of loan amount&quot;"/>
    <numFmt numFmtId="277" formatCode="&quot;Net Affordable Mortage at&quot;\ ##%"/>
    <numFmt numFmtId="278" formatCode="&quot;plus Down Payment of&quot;\ ##%"/>
    <numFmt numFmtId="279" formatCode="##\ &quot;stories&quot;"/>
    <numFmt numFmtId="280" formatCode="&quot;Building footprint at&quot;\ ##\ &quot;stories&quot;"/>
    <numFmt numFmtId="281" formatCode="&quot;Building area at&quot;\ ##%\ &quot;circulation&quot;"/>
    <numFmt numFmtId="282" formatCode="&quot;Parking area at&quot;\ ###\ &quot;sf per stall&quot;"/>
    <numFmt numFmtId="283" formatCode="#,###\ &quot;SF&quot;"/>
    <numFmt numFmtId="284" formatCode="&quot;Fee/unit=&quot;&quot;$&quot;##,###"/>
    <numFmt numFmtId="285" formatCode="&quot;Retail&quot;\ #,###\ &quot;SF&quot;"/>
    <numFmt numFmtId="286" formatCode="&quot;Office&quot;\ #,###\ &quot;SF&quot;"/>
    <numFmt numFmtId="287" formatCode="&quot;Guest parking at&quot;\ ###\ &quot;sf per stall&quot;"/>
    <numFmt numFmtId="288" formatCode="&quot;$&quot;###\ &quot;per SF net lease or sale&quot;"/>
    <numFmt numFmtId="289" formatCode="&quot;$&quot;###\ &quot;per SF net sale&quot;"/>
    <numFmt numFmtId="290" formatCode="#,###\ &quot;Units&quot;"/>
    <numFmt numFmtId="291" formatCode="m/d/yy;@"/>
    <numFmt numFmtId="292" formatCode="&quot;Commercial&quot;\ #,###\ &quot;SF&quot;"/>
    <numFmt numFmtId="293" formatCode="&quot;Feasible Project Costs at&quot;\ ##%\ &quot;ROC&quot;"/>
    <numFmt numFmtId="294" formatCode="&quot;Industrial&quot;\ #,###\ &quot;SF&quot;"/>
    <numFmt numFmtId="295" formatCode="_-* #,##0_-;\-* #,##0_-;_-* &quot;-&quot;??_-;_-@_-"/>
    <numFmt numFmtId="296" formatCode="&quot;$&quot;#,##0.00;[Red]&quot;$&quot;#,##0.00"/>
  </numFmts>
  <fonts count="209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2"/>
      <name val="Arial MT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sz val="11"/>
      <name val="ＭＳ Ｐゴシック"/>
      <charset val="128"/>
    </font>
    <font>
      <sz val="8"/>
      <name val="Palatino"/>
      <family val="1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color indexed="8"/>
      <name val="Palatino"/>
      <family val="1"/>
    </font>
    <font>
      <b/>
      <sz val="12"/>
      <name val="Helv"/>
    </font>
    <font>
      <b/>
      <i/>
      <sz val="10"/>
      <name val="Helv"/>
      <family val="2"/>
    </font>
    <font>
      <b/>
      <sz val="8"/>
      <name val="Helv"/>
      <family val="2"/>
    </font>
    <font>
      <sz val="7"/>
      <color indexed="12"/>
      <name val="Times New Roman"/>
      <family val="1"/>
    </font>
    <font>
      <sz val="9"/>
      <name val="Tahoma"/>
      <family val="2"/>
    </font>
    <font>
      <sz val="8"/>
      <name val="Times"/>
      <family val="1"/>
    </font>
    <font>
      <sz val="9"/>
      <color indexed="8"/>
      <name val="Times New Roman"/>
      <family val="1"/>
    </font>
    <font>
      <sz val="8"/>
      <color indexed="12"/>
      <name val="Tms Rmn"/>
    </font>
    <font>
      <sz val="10"/>
      <color indexed="12"/>
      <name val="Times New Roman"/>
      <family val="1"/>
    </font>
    <font>
      <sz val="12"/>
      <name val="Tms Rmn"/>
      <family val="1"/>
    </font>
    <font>
      <b/>
      <sz val="12"/>
      <name val="SWISS"/>
    </font>
    <font>
      <b/>
      <i/>
      <sz val="10"/>
      <color indexed="30"/>
      <name val="Comic Sans MS"/>
      <family val="4"/>
    </font>
    <font>
      <sz val="8"/>
      <color indexed="30"/>
      <name val="Comic Sans MS"/>
      <family val="4"/>
    </font>
    <font>
      <b/>
      <sz val="8"/>
      <color indexed="30"/>
      <name val="Comic Sans MS"/>
      <family val="4"/>
    </font>
    <font>
      <sz val="10"/>
      <color indexed="30"/>
      <name val="Comic Sans MS"/>
      <family val="4"/>
    </font>
    <font>
      <sz val="8"/>
      <name val="Helvetica-Narrow"/>
    </font>
    <font>
      <u val="singleAccounting"/>
      <sz val="10"/>
      <name val="Arial"/>
      <family val="2"/>
    </font>
    <font>
      <sz val="12"/>
      <name val="±¼¸²Ã¼"/>
      <family val="3"/>
      <charset val="129"/>
    </font>
    <font>
      <sz val="9"/>
      <color indexed="8"/>
      <name val="Helvetica-Narrow"/>
    </font>
    <font>
      <sz val="8"/>
      <color indexed="13"/>
      <name val="Helvetica-Narrow"/>
    </font>
    <font>
      <b/>
      <sz val="7"/>
      <name val="Helvetica-Narrow"/>
      <family val="2"/>
    </font>
    <font>
      <b/>
      <sz val="7"/>
      <name val="GillSans"/>
    </font>
    <font>
      <b/>
      <sz val="9"/>
      <name val="Tahoma"/>
      <family val="2"/>
    </font>
    <font>
      <sz val="12"/>
      <color indexed="24"/>
      <name val="Arial"/>
      <family val="2"/>
    </font>
    <font>
      <sz val="10"/>
      <name val="Helv"/>
    </font>
    <font>
      <sz val="12"/>
      <name val="Helv"/>
    </font>
    <font>
      <b/>
      <sz val="24"/>
      <name val="Courier New"/>
      <family val="3"/>
    </font>
    <font>
      <b/>
      <sz val="10"/>
      <color indexed="30"/>
      <name val="Comic Sans MS"/>
      <family val="4"/>
    </font>
    <font>
      <sz val="12"/>
      <color indexed="30"/>
      <name val="Comic Sans MS"/>
      <family val="4"/>
    </font>
    <font>
      <sz val="10"/>
      <name val="MS Serif"/>
      <family val="1"/>
    </font>
    <font>
      <sz val="10"/>
      <name val="Courier"/>
      <family val="3"/>
    </font>
    <font>
      <sz val="10"/>
      <name val="Book Antiqua"/>
      <family val="1"/>
    </font>
    <font>
      <sz val="10"/>
      <name val="Times New Roman Special G1"/>
    </font>
    <font>
      <sz val="10"/>
      <color indexed="24"/>
      <name val="Arial"/>
      <family val="2"/>
    </font>
    <font>
      <sz val="9"/>
      <name val="Times New Roman"/>
      <family val="1"/>
    </font>
    <font>
      <u/>
      <sz val="8"/>
      <color indexed="12"/>
      <name val="Times New Roman"/>
      <family val="1"/>
    </font>
    <font>
      <sz val="9"/>
      <name val="Arial"/>
      <family val="2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i/>
      <sz val="9"/>
      <color indexed="8"/>
      <name val="Times New Roman"/>
      <family val="1"/>
    </font>
    <font>
      <b/>
      <sz val="9"/>
      <name val="Times New Roman"/>
      <family val="1"/>
    </font>
    <font>
      <sz val="22"/>
      <name val="Times New Roman"/>
      <family val="1"/>
    </font>
    <font>
      <b/>
      <i/>
      <sz val="8"/>
      <color indexed="12"/>
      <name val="Arial"/>
      <family val="2"/>
    </font>
    <font>
      <sz val="10"/>
      <color indexed="16"/>
      <name val="MS Serif"/>
      <family val="1"/>
    </font>
    <font>
      <sz val="7"/>
      <name val="Palatino"/>
      <family val="1"/>
    </font>
    <font>
      <sz val="9"/>
      <name val="CharterITC BT"/>
      <family val="1"/>
    </font>
    <font>
      <b/>
      <sz val="10"/>
      <name val="Tahoma"/>
      <family val="2"/>
    </font>
    <font>
      <sz val="8"/>
      <name val="Arial"/>
      <family val="2"/>
    </font>
    <font>
      <b/>
      <sz val="12"/>
      <color indexed="9"/>
      <name val="Tms Rmn"/>
    </font>
    <font>
      <u/>
      <sz val="12"/>
      <name val="Tahoma"/>
      <family val="2"/>
    </font>
    <font>
      <i/>
      <u/>
      <sz val="11"/>
      <name val="Tahoma"/>
      <family val="2"/>
    </font>
    <font>
      <u/>
      <sz val="11"/>
      <name val="Tahoma"/>
      <family val="2"/>
    </font>
    <font>
      <i/>
      <u/>
      <sz val="10"/>
      <name val="Tahoma"/>
      <family val="2"/>
    </font>
    <font>
      <u/>
      <sz val="10"/>
      <name val="Tahoma"/>
      <family val="2"/>
    </font>
    <font>
      <i/>
      <u/>
      <sz val="9"/>
      <name val="Tahoma"/>
      <family val="2"/>
    </font>
    <font>
      <u/>
      <sz val="9"/>
      <name val="Tahoma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i/>
      <sz val="22"/>
      <name val="Times New Roman"/>
      <family val="1"/>
    </font>
    <font>
      <b/>
      <sz val="8"/>
      <name val="MS Sans Serif"/>
      <family val="2"/>
    </font>
    <font>
      <b/>
      <sz val="24"/>
      <name val="Geneva"/>
    </font>
    <font>
      <b/>
      <u/>
      <sz val="8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indexed="16"/>
      <name val="MS Sans Serif"/>
      <family val="2"/>
    </font>
    <font>
      <sz val="10"/>
      <name val="Geneva"/>
    </font>
    <font>
      <sz val="14"/>
      <name val="Architecture"/>
      <family val="2"/>
    </font>
    <font>
      <sz val="7"/>
      <name val="Small Fonts"/>
      <family val="2"/>
    </font>
    <font>
      <sz val="11"/>
      <name val="明朝"/>
      <family val="1"/>
      <charset val="128"/>
    </font>
    <font>
      <sz val="10"/>
      <name val="Palatino"/>
      <family val="1"/>
    </font>
    <font>
      <sz val="10"/>
      <name val="ＭＳ Ｐゴシック"/>
      <family val="3"/>
      <charset val="128"/>
    </font>
    <font>
      <sz val="11"/>
      <name val="Times New Roman"/>
      <family val="1"/>
    </font>
    <font>
      <sz val="11"/>
      <name val="‚l‚r –¾’©"/>
      <family val="3"/>
      <charset val="128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b/>
      <sz val="14"/>
      <color indexed="12"/>
      <name val="Arial"/>
      <family val="2"/>
    </font>
    <font>
      <sz val="22"/>
      <name val="UBSHeadline"/>
      <family val="1"/>
    </font>
    <font>
      <sz val="10"/>
      <name val="Tms Rm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10"/>
      <name val="GillSans Light"/>
    </font>
    <font>
      <sz val="9.5"/>
      <color indexed="23"/>
      <name val="Helvetica-Black"/>
    </font>
    <font>
      <b/>
      <sz val="16"/>
      <color indexed="16"/>
      <name val="Arial"/>
      <family val="2"/>
    </font>
    <font>
      <sz val="8"/>
      <name val="MS Sans Serif"/>
      <family val="2"/>
    </font>
    <font>
      <sz val="10"/>
      <color indexed="14"/>
      <name val="Century Schoolbook"/>
      <family val="1"/>
    </font>
    <font>
      <b/>
      <sz val="11"/>
      <name val="Helv"/>
    </font>
    <font>
      <b/>
      <u/>
      <sz val="10"/>
      <name val="Tahoma"/>
      <family val="2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sz val="9"/>
      <name val="Helvetica-Black"/>
    </font>
    <font>
      <sz val="9"/>
      <name val="Palatino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ahoma"/>
      <family val="2"/>
    </font>
    <font>
      <u/>
      <sz val="8"/>
      <name val="Times New Roman"/>
      <family val="1"/>
    </font>
    <font>
      <b/>
      <sz val="12"/>
      <name val="CG Times (W1)"/>
      <family val="1"/>
    </font>
    <font>
      <b/>
      <i/>
      <sz val="12"/>
      <name val="CG Times (W1)"/>
      <family val="1"/>
    </font>
    <font>
      <b/>
      <i/>
      <sz val="24"/>
      <name val="Arial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0"/>
      <color indexed="30"/>
      <name val="Arial"/>
      <family val="2"/>
    </font>
    <font>
      <b/>
      <sz val="7"/>
      <color indexed="12"/>
      <name val="Arial"/>
      <family val="2"/>
    </font>
    <font>
      <u/>
      <sz val="8"/>
      <color indexed="8"/>
      <name val="Arial"/>
      <family val="2"/>
    </font>
    <font>
      <sz val="8"/>
      <color indexed="12"/>
      <name val="Arial"/>
      <family val="2"/>
    </font>
    <font>
      <sz val="10"/>
      <color indexed="9"/>
      <name val="Tms Rmn"/>
    </font>
    <font>
      <sz val="7"/>
      <name val="Times New Roman"/>
      <family val="1"/>
    </font>
    <font>
      <b/>
      <i/>
      <sz val="8"/>
      <name val="Helv"/>
    </font>
    <font>
      <sz val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0"/>
      <color indexed="81"/>
      <name val="Calibri"/>
      <family val="2"/>
    </font>
    <font>
      <sz val="14"/>
      <color indexed="8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4C4C4C"/>
      <name val="Calibri"/>
      <family val="2"/>
      <scheme val="minor"/>
    </font>
    <font>
      <sz val="12"/>
      <color rgb="FF4C4C4C"/>
      <name val="Calibri"/>
      <family val="2"/>
      <scheme val="minor"/>
    </font>
    <font>
      <sz val="12"/>
      <color theme="1"/>
      <name val="PT Sans Narrow"/>
      <family val="2"/>
      <charset val="204"/>
    </font>
    <font>
      <sz val="12"/>
      <color rgb="FF4C4C4C"/>
      <name val="PT Sans Narrow"/>
      <family val="2"/>
      <charset val="204"/>
    </font>
    <font>
      <b/>
      <sz val="12"/>
      <color rgb="FFC61225"/>
      <name val="PT Sans Narrow"/>
      <family val="2"/>
      <charset val="204"/>
    </font>
    <font>
      <b/>
      <sz val="12"/>
      <color rgb="FF4C4C4C"/>
      <name val="PT Sans Narrow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432FF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b/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rgb="FF00B0F0"/>
      <name val="Arial"/>
      <family val="2"/>
    </font>
    <font>
      <b/>
      <sz val="9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theme="0"/>
      <name val="Arial"/>
      <family val="2"/>
    </font>
    <font>
      <sz val="11"/>
      <color rgb="FF00B0F0"/>
      <name val="Calibri"/>
      <family val="2"/>
      <scheme val="minor"/>
    </font>
    <font>
      <sz val="11"/>
      <color rgb="FF313335"/>
      <name val="Open Sans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rgb="FF4C4C4C"/>
      <name val="Arial"/>
      <family val="2"/>
    </font>
    <font>
      <b/>
      <sz val="10"/>
      <color rgb="FF4C4C4C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lightGray">
        <fgColor indexed="15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26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 style="thick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double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30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indexed="63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17"/>
      </top>
      <bottom/>
      <diagonal/>
    </border>
    <border>
      <left/>
      <right/>
      <top/>
      <bottom style="thick">
        <color indexed="18"/>
      </bottom>
      <diagonal/>
    </border>
    <border>
      <left/>
      <right/>
      <top/>
      <bottom style="thin">
        <color indexed="18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indexed="30"/>
      </left>
      <right style="thin">
        <color indexed="30"/>
      </right>
      <top style="thick">
        <color indexed="30"/>
      </top>
      <bottom style="thick">
        <color indexed="30"/>
      </bottom>
      <diagonal/>
    </border>
    <border>
      <left/>
      <right/>
      <top style="thin">
        <color auto="1"/>
      </top>
      <bottom style="hair">
        <color indexed="2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4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 tint="0.3999755851924192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361">
    <xf numFmtId="0" fontId="0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0" fontId="18" fillId="0" borderId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86" fontId="25" fillId="0" borderId="0">
      <alignment horizontal="right"/>
    </xf>
    <xf numFmtId="187" fontId="25" fillId="0" borderId="0">
      <alignment horizontal="right"/>
    </xf>
    <xf numFmtId="188" fontId="25" fillId="0" borderId="0">
      <alignment horizontal="right"/>
    </xf>
    <xf numFmtId="189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2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27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5" fontId="26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70" fontId="27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5" fontId="26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2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26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39" fontId="26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7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7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5" fillId="12" borderId="0" applyNumberFormat="0" applyFont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70" fontId="27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70" fontId="27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26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26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26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200" fontId="15" fillId="0" borderId="0" applyFont="0" applyFill="0" applyBorder="0" applyProtection="0">
      <alignment horizontal="right"/>
    </xf>
    <xf numFmtId="201" fontId="27" fillId="0" borderId="0" applyFont="0" applyFill="0" applyBorder="0" applyAlignment="0" applyProtection="0"/>
    <xf numFmtId="200" fontId="15" fillId="0" borderId="0" applyFont="0" applyFill="0" applyBorder="0" applyProtection="0">
      <alignment horizontal="right"/>
    </xf>
    <xf numFmtId="201" fontId="27" fillId="0" borderId="0" applyFont="0" applyFill="0" applyBorder="0" applyAlignment="0" applyProtection="0"/>
    <xf numFmtId="200" fontId="15" fillId="0" borderId="0" applyFont="0" applyFill="0" applyBorder="0" applyProtection="0">
      <alignment horizontal="right"/>
    </xf>
    <xf numFmtId="200" fontId="15" fillId="0" borderId="0" applyFont="0" applyFill="0" applyBorder="0" applyProtection="0">
      <alignment horizontal="right"/>
    </xf>
    <xf numFmtId="202" fontId="26" fillId="0" borderId="0" applyFont="0" applyFill="0" applyBorder="0" applyAlignment="0" applyProtection="0"/>
    <xf numFmtId="200" fontId="15" fillId="0" borderId="0" applyFont="0" applyFill="0" applyBorder="0" applyProtection="0">
      <alignment horizontal="right"/>
    </xf>
    <xf numFmtId="202" fontId="26" fillId="0" borderId="0" applyFont="0" applyFill="0" applyBorder="0" applyAlignment="0" applyProtection="0"/>
    <xf numFmtId="200" fontId="15" fillId="0" borderId="0" applyFont="0" applyFill="0" applyBorder="0" applyProtection="0">
      <alignment horizontal="right"/>
    </xf>
    <xf numFmtId="202" fontId="26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26" fillId="0" borderId="0" applyFont="0" applyFill="0" applyBorder="0" applyAlignment="0" applyProtection="0"/>
    <xf numFmtId="206" fontId="27" fillId="0" borderId="0" applyFont="0" applyFill="0" applyBorder="0" applyAlignment="0" applyProtection="0"/>
    <xf numFmtId="206" fontId="27" fillId="0" borderId="0" applyFont="0" applyFill="0" applyBorder="0" applyAlignment="0" applyProtection="0"/>
    <xf numFmtId="0" fontId="29" fillId="0" borderId="0" applyNumberFormat="0" applyFill="0" applyBorder="0" applyProtection="0">
      <alignment vertical="top"/>
    </xf>
    <xf numFmtId="0" fontId="30" fillId="0" borderId="16" applyNumberFormat="0" applyFill="0" applyAlignment="0" applyProtection="0"/>
    <xf numFmtId="0" fontId="31" fillId="0" borderId="17" applyNumberFormat="0" applyFill="0" applyProtection="0">
      <alignment horizontal="center"/>
    </xf>
    <xf numFmtId="0" fontId="31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centerContinuous"/>
    </xf>
    <xf numFmtId="207" fontId="33" fillId="0" borderId="0">
      <alignment horizontal="left"/>
      <protection locked="0"/>
    </xf>
    <xf numFmtId="38" fontId="9" fillId="0" borderId="18"/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39" fontId="34" fillId="0" borderId="0">
      <alignment horizontal="center"/>
    </xf>
    <xf numFmtId="39" fontId="34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39" fontId="36" fillId="0" borderId="0">
      <alignment horizontal="center"/>
    </xf>
    <xf numFmtId="208" fontId="37" fillId="0" borderId="0">
      <protection locked="0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39" fontId="36" fillId="0" borderId="0">
      <alignment horizontal="center"/>
    </xf>
    <xf numFmtId="14" fontId="38" fillId="0" borderId="0"/>
    <xf numFmtId="209" fontId="23" fillId="13" borderId="19">
      <alignment horizontal="center" vertical="center"/>
    </xf>
    <xf numFmtId="0" fontId="39" fillId="0" borderId="0"/>
    <xf numFmtId="37" fontId="21" fillId="0" borderId="0" applyFont="0" applyAlignment="0">
      <alignment horizontal="centerContinuous" vertical="top"/>
    </xf>
    <xf numFmtId="0" fontId="25" fillId="0" borderId="0">
      <alignment horizontal="center" wrapText="1"/>
      <protection locked="0"/>
    </xf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10" fontId="15" fillId="0" borderId="0" applyFont="0" applyFill="0" applyBorder="0" applyAlignment="0"/>
    <xf numFmtId="211" fontId="40" fillId="0" borderId="0" applyFont="0" applyFill="0" applyBorder="0" applyAlignment="0">
      <alignment horizontal="right"/>
    </xf>
    <xf numFmtId="0" fontId="41" fillId="0" borderId="0" applyNumberFormat="0" applyFill="0" applyBorder="0" applyAlignment="0" applyProtection="0"/>
    <xf numFmtId="0" fontId="37" fillId="0" borderId="0">
      <protection locked="0"/>
    </xf>
    <xf numFmtId="212" fontId="37" fillId="0" borderId="0">
      <alignment horizontal="right"/>
      <protection locked="0"/>
    </xf>
    <xf numFmtId="7" fontId="42" fillId="0" borderId="0">
      <alignment horizontal="right"/>
      <protection locked="0"/>
    </xf>
    <xf numFmtId="206" fontId="37" fillId="0" borderId="0">
      <alignment horizontal="right"/>
      <protection locked="0"/>
    </xf>
    <xf numFmtId="0" fontId="43" fillId="0" borderId="0" applyNumberFormat="0" applyFill="0" applyBorder="0" applyAlignment="0" applyProtection="0"/>
    <xf numFmtId="0" fontId="44" fillId="0" borderId="0"/>
    <xf numFmtId="0" fontId="45" fillId="0" borderId="20"/>
    <xf numFmtId="0" fontId="46" fillId="13" borderId="21" applyAlignment="0">
      <alignment horizontal="center"/>
    </xf>
    <xf numFmtId="0" fontId="47" fillId="0" borderId="22"/>
    <xf numFmtId="0" fontId="25" fillId="0" borderId="23" applyNumberFormat="0" applyFont="0" applyFill="0" applyAlignment="0" applyProtection="0"/>
    <xf numFmtId="206" fontId="15" fillId="0" borderId="24" applyNumberFormat="0" applyFill="0" applyAlignment="0" applyProtection="0"/>
    <xf numFmtId="0" fontId="48" fillId="0" borderId="25"/>
    <xf numFmtId="0" fontId="48" fillId="0" borderId="26"/>
    <xf numFmtId="0" fontId="49" fillId="0" borderId="0"/>
    <xf numFmtId="0" fontId="50" fillId="0" borderId="0" applyFont="0" applyFill="0" applyBorder="0" applyAlignment="0" applyProtection="0"/>
    <xf numFmtId="0" fontId="51" fillId="0" borderId="0"/>
    <xf numFmtId="213" fontId="24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14" fontId="52" fillId="0" borderId="11" applyFill="0" applyBorder="0" applyAlignment="0" applyProtection="0">
      <alignment horizontal="right"/>
    </xf>
    <xf numFmtId="215" fontId="53" fillId="0" borderId="0" applyFont="0" applyFill="0"/>
    <xf numFmtId="39" fontId="25" fillId="14" borderId="0" applyNumberFormat="0" applyFont="0" applyBorder="0" applyAlignment="0"/>
    <xf numFmtId="216" fontId="15" fillId="0" borderId="0" applyFill="0" applyBorder="0" applyProtection="0"/>
    <xf numFmtId="0" fontId="11" fillId="0" borderId="12" applyNumberFormat="0" applyFont="0" applyFill="0" applyProtection="0">
      <alignment horizontal="centerContinuous" vertical="center"/>
    </xf>
    <xf numFmtId="0" fontId="54" fillId="0" borderId="27" applyNumberFormat="0" applyFill="0" applyProtection="0">
      <alignment horizontal="center" vertical="center"/>
    </xf>
    <xf numFmtId="0" fontId="55" fillId="0" borderId="28" applyNumberFormat="0" applyFill="0" applyBorder="0" applyProtection="0">
      <alignment horizontal="right" vertical="center"/>
    </xf>
    <xf numFmtId="0" fontId="11" fillId="0" borderId="0" applyNumberFormat="0" applyFill="0" applyBorder="0" applyProtection="0">
      <alignment horizontal="center" vertical="center"/>
    </xf>
    <xf numFmtId="0" fontId="56" fillId="13" borderId="0" applyNumberFormat="0">
      <alignment horizontal="center"/>
    </xf>
    <xf numFmtId="0" fontId="15" fillId="0" borderId="0" applyFont="0" applyFill="0" applyBorder="0" applyAlignment="0" applyProtection="0"/>
    <xf numFmtId="217" fontId="15" fillId="0" borderId="0" applyFont="0" applyFill="0" applyBorder="0" applyAlignment="0" applyProtection="0"/>
    <xf numFmtId="0" fontId="27" fillId="0" borderId="0" applyFont="0" applyFill="0" applyBorder="0" applyAlignment="0" applyProtection="0">
      <alignment horizontal="right"/>
    </xf>
    <xf numFmtId="218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57" fillId="0" borderId="0" applyFont="0" applyFill="0" applyBorder="0" applyAlignment="0" applyProtection="0"/>
    <xf numFmtId="0" fontId="58" fillId="0" borderId="0"/>
    <xf numFmtId="0" fontId="59" fillId="0" borderId="0"/>
    <xf numFmtId="3" fontId="60" fillId="0" borderId="0" applyFill="0" applyBorder="0" applyAlignment="0" applyProtection="0"/>
    <xf numFmtId="0" fontId="58" fillId="0" borderId="0"/>
    <xf numFmtId="41" fontId="46" fillId="0" borderId="29">
      <alignment horizontal="center"/>
      <protection locked="0" hidden="1"/>
    </xf>
    <xf numFmtId="41" fontId="46" fillId="0" borderId="30">
      <alignment horizontal="center"/>
      <protection locked="0"/>
    </xf>
    <xf numFmtId="41" fontId="61" fillId="0" borderId="20">
      <protection hidden="1"/>
    </xf>
    <xf numFmtId="41" fontId="62" fillId="0" borderId="20"/>
    <xf numFmtId="41" fontId="46" fillId="0" borderId="20">
      <alignment horizontal="right"/>
    </xf>
    <xf numFmtId="0" fontId="63" fillId="0" borderId="0" applyNumberFormat="0" applyAlignment="0">
      <alignment horizontal="left"/>
    </xf>
    <xf numFmtId="0" fontId="64" fillId="0" borderId="0" applyNumberFormat="0" applyAlignment="0"/>
    <xf numFmtId="0" fontId="59" fillId="0" borderId="0"/>
    <xf numFmtId="0" fontId="58" fillId="0" borderId="0"/>
    <xf numFmtId="0" fontId="15" fillId="0" borderId="0" applyFont="0" applyFill="0" applyBorder="0" applyAlignment="0" applyProtection="0"/>
    <xf numFmtId="8" fontId="65" fillId="0" borderId="0" applyBorder="0"/>
    <xf numFmtId="0" fontId="27" fillId="0" borderId="0" applyFont="0" applyFill="0" applyBorder="0" applyAlignment="0" applyProtection="0">
      <alignment horizontal="right"/>
    </xf>
    <xf numFmtId="44" fontId="6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20" fontId="67" fillId="0" borderId="0" applyFont="0" applyFill="0" applyBorder="0" applyAlignment="0" applyProtection="0"/>
    <xf numFmtId="221" fontId="68" fillId="0" borderId="0"/>
    <xf numFmtId="44" fontId="61" fillId="0" borderId="20">
      <alignment horizontal="center"/>
      <protection hidden="1"/>
    </xf>
    <xf numFmtId="39" fontId="38" fillId="0" borderId="0">
      <alignment horizontal="right"/>
    </xf>
    <xf numFmtId="14" fontId="46" fillId="0" borderId="30">
      <alignment horizontal="center"/>
    </xf>
    <xf numFmtId="0" fontId="27" fillId="0" borderId="0" applyFont="0" applyFill="0" applyBorder="0" applyAlignment="0" applyProtection="0"/>
    <xf numFmtId="222" fontId="15" fillId="0" borderId="0">
      <alignment horizontal="right"/>
    </xf>
    <xf numFmtId="14" fontId="24" fillId="0" borderId="0" applyFill="0" applyBorder="0" applyAlignment="0"/>
    <xf numFmtId="14" fontId="25" fillId="0" borderId="0">
      <alignment horizontal="right"/>
    </xf>
    <xf numFmtId="14" fontId="69" fillId="0" borderId="0">
      <alignment horizontal="right"/>
      <protection locked="0"/>
    </xf>
    <xf numFmtId="223" fontId="70" fillId="0" borderId="0" applyFill="0" applyProtection="0">
      <alignment vertical="center"/>
    </xf>
    <xf numFmtId="224" fontId="25" fillId="0" borderId="0">
      <alignment horizontal="right"/>
    </xf>
    <xf numFmtId="225" fontId="25" fillId="0" borderId="0">
      <alignment horizontal="right"/>
    </xf>
    <xf numFmtId="226" fontId="15" fillId="0" borderId="0">
      <alignment horizontal="right"/>
    </xf>
    <xf numFmtId="8" fontId="15" fillId="0" borderId="0" applyFill="0" applyBorder="0" applyProtection="0"/>
    <xf numFmtId="227" fontId="25" fillId="0" borderId="0"/>
    <xf numFmtId="227" fontId="71" fillId="0" borderId="0">
      <protection locked="0"/>
    </xf>
    <xf numFmtId="7" fontId="25" fillId="0" borderId="0"/>
    <xf numFmtId="0" fontId="27" fillId="0" borderId="31" applyNumberFormat="0" applyFont="0" applyFill="0" applyAlignment="0" applyProtection="0"/>
    <xf numFmtId="42" fontId="72" fillId="0" borderId="0" applyFill="0" applyBorder="0" applyAlignment="0" applyProtection="0"/>
    <xf numFmtId="174" fontId="9" fillId="15" borderId="0">
      <alignment vertical="center"/>
    </xf>
    <xf numFmtId="174" fontId="10" fillId="0" borderId="0">
      <alignment vertical="center"/>
    </xf>
    <xf numFmtId="174" fontId="10" fillId="0" borderId="0">
      <alignment vertical="center"/>
    </xf>
    <xf numFmtId="174" fontId="73" fillId="16" borderId="32" applyNumberFormat="0" applyAlignment="0">
      <alignment horizontal="center" vertical="center"/>
    </xf>
    <xf numFmtId="174" fontId="74" fillId="16" borderId="0">
      <alignment horizontal="center" vertical="center"/>
    </xf>
    <xf numFmtId="14" fontId="9" fillId="16" borderId="0">
      <alignment horizontal="center" vertical="center"/>
    </xf>
    <xf numFmtId="17" fontId="68" fillId="16" borderId="0">
      <alignment horizontal="center" vertical="center"/>
    </xf>
    <xf numFmtId="174" fontId="16" fillId="0" borderId="0">
      <alignment vertical="center"/>
    </xf>
    <xf numFmtId="174" fontId="75" fillId="16" borderId="0">
      <alignment vertical="center"/>
    </xf>
    <xf numFmtId="174" fontId="76" fillId="16" borderId="0">
      <alignment vertical="center"/>
    </xf>
    <xf numFmtId="170" fontId="77" fillId="16" borderId="33">
      <alignment vertical="center"/>
    </xf>
    <xf numFmtId="0" fontId="9" fillId="16" borderId="33">
      <alignment vertical="center"/>
    </xf>
    <xf numFmtId="37" fontId="68" fillId="16" borderId="0">
      <alignment horizontal="left" vertical="center"/>
    </xf>
    <xf numFmtId="174" fontId="68" fillId="16" borderId="0">
      <alignment horizontal="center" vertical="center"/>
    </xf>
    <xf numFmtId="228" fontId="40" fillId="16" borderId="0">
      <alignment horizontal="right" vertical="center"/>
    </xf>
    <xf numFmtId="168" fontId="40" fillId="16" borderId="0">
      <alignment horizontal="right" vertical="center"/>
    </xf>
    <xf numFmtId="170" fontId="78" fillId="16" borderId="0">
      <alignment horizontal="right" vertical="center"/>
    </xf>
    <xf numFmtId="170" fontId="78" fillId="16" borderId="9">
      <alignment horizontal="right" vertical="center"/>
    </xf>
    <xf numFmtId="168" fontId="79" fillId="16" borderId="33">
      <alignment horizontal="right" vertical="center"/>
    </xf>
    <xf numFmtId="173" fontId="30" fillId="16" borderId="0">
      <alignment horizontal="right" vertical="center"/>
    </xf>
    <xf numFmtId="4" fontId="40" fillId="16" borderId="0">
      <alignment horizontal="right" vertical="center"/>
    </xf>
    <xf numFmtId="173" fontId="68" fillId="16" borderId="28">
      <alignment horizontal="right" vertical="center"/>
    </xf>
    <xf numFmtId="168" fontId="68" fillId="16" borderId="28">
      <alignment horizontal="right" vertical="center"/>
    </xf>
    <xf numFmtId="168" fontId="79" fillId="16" borderId="0">
      <alignment horizontal="right" vertical="center"/>
    </xf>
    <xf numFmtId="222" fontId="68" fillId="16" borderId="0">
      <alignment horizontal="right" vertical="center"/>
    </xf>
    <xf numFmtId="174" fontId="9" fillId="0" borderId="0">
      <alignment vertical="center"/>
    </xf>
    <xf numFmtId="174" fontId="16" fillId="16" borderId="28" applyBorder="0">
      <alignment horizontal="left" vertical="center"/>
    </xf>
    <xf numFmtId="174" fontId="80" fillId="16" borderId="0">
      <alignment horizontal="left" vertical="center"/>
    </xf>
    <xf numFmtId="174" fontId="16" fillId="16" borderId="34">
      <alignment horizontal="left"/>
    </xf>
    <xf numFmtId="174" fontId="25" fillId="16" borderId="35">
      <alignment vertical="center"/>
    </xf>
    <xf numFmtId="174" fontId="25" fillId="16" borderId="36">
      <alignment vertical="center"/>
    </xf>
    <xf numFmtId="174" fontId="25" fillId="16" borderId="9">
      <alignment vertical="center"/>
    </xf>
    <xf numFmtId="174" fontId="10" fillId="16" borderId="37">
      <alignment horizontal="center" vertical="center"/>
    </xf>
    <xf numFmtId="174" fontId="10" fillId="0" borderId="0">
      <alignment vertical="center"/>
    </xf>
    <xf numFmtId="174" fontId="10" fillId="0" borderId="0">
      <alignment vertical="center"/>
    </xf>
    <xf numFmtId="174" fontId="10" fillId="0" borderId="0">
      <alignment vertical="center"/>
    </xf>
    <xf numFmtId="170" fontId="81" fillId="0" borderId="38" applyNumberFormat="0" applyAlignment="0" applyProtection="0">
      <alignment vertical="top"/>
    </xf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82" fillId="0" borderId="0" applyNumberFormat="0" applyAlignment="0">
      <alignment horizontal="left"/>
    </xf>
    <xf numFmtId="229" fontId="15" fillId="0" borderId="0" applyFont="0" applyFill="0" applyBorder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8" fillId="0" borderId="0" applyNumberFormat="0" applyFill="0" applyBorder="0" applyAlignment="0" applyProtection="0"/>
    <xf numFmtId="170" fontId="38" fillId="0" borderId="0" applyBorder="0"/>
    <xf numFmtId="230" fontId="9" fillId="0" borderId="0">
      <protection locked="0"/>
    </xf>
    <xf numFmtId="0" fontId="59" fillId="0" borderId="0"/>
    <xf numFmtId="0" fontId="83" fillId="0" borderId="0" applyFill="0" applyBorder="0" applyProtection="0">
      <alignment horizontal="left"/>
    </xf>
    <xf numFmtId="219" fontId="84" fillId="0" borderId="0"/>
    <xf numFmtId="0" fontId="85" fillId="0" borderId="0">
      <alignment horizontal="left" indent="2"/>
    </xf>
    <xf numFmtId="38" fontId="86" fillId="17" borderId="0" applyNumberFormat="0" applyBorder="0" applyAlignment="0" applyProtection="0"/>
    <xf numFmtId="0" fontId="27" fillId="0" borderId="0" applyFont="0" applyFill="0" applyBorder="0" applyAlignment="0" applyProtection="0">
      <alignment horizontal="right"/>
    </xf>
    <xf numFmtId="0" fontId="87" fillId="18" borderId="0"/>
    <xf numFmtId="0" fontId="15" fillId="0" borderId="0"/>
    <xf numFmtId="0" fontId="88" fillId="0" borderId="0" applyNumberFormat="0" applyFill="0" applyBorder="0" applyAlignment="0" applyProtection="0">
      <alignment horizontal="left"/>
    </xf>
    <xf numFmtId="0" fontId="89" fillId="0" borderId="0" applyNumberFormat="0" applyFill="0" applyBorder="0" applyAlignment="0" applyProtection="0">
      <alignment horizontal="left"/>
    </xf>
    <xf numFmtId="0" fontId="90" fillId="0" borderId="0" applyNumberFormat="0" applyFill="0" applyBorder="0" applyAlignment="0" applyProtection="0">
      <alignment horizontal="left"/>
    </xf>
    <xf numFmtId="0" fontId="91" fillId="0" borderId="0" applyNumberFormat="0" applyFill="0" applyBorder="0" applyAlignment="0" applyProtection="0">
      <alignment horizontal="left"/>
    </xf>
    <xf numFmtId="0" fontId="92" fillId="0" borderId="0" applyNumberFormat="0" applyFill="0" applyAlignment="0" applyProtection="0">
      <alignment horizontal="left"/>
    </xf>
    <xf numFmtId="0" fontId="91" fillId="0" borderId="0" applyNumberFormat="0" applyFill="0" applyBorder="0" applyAlignment="0" applyProtection="0">
      <alignment horizontal="left"/>
    </xf>
    <xf numFmtId="0" fontId="92" fillId="0" borderId="0" applyNumberFormat="0" applyFill="0" applyBorder="0" applyAlignment="0" applyProtection="0">
      <alignment horizontal="left"/>
    </xf>
    <xf numFmtId="0" fontId="93" fillId="0" borderId="0" applyNumberFormat="0" applyFill="0" applyBorder="0" applyAlignment="0" applyProtection="0">
      <alignment horizontal="left"/>
    </xf>
    <xf numFmtId="0" fontId="94" fillId="0" borderId="0" applyNumberFormat="0" applyFill="0" applyBorder="0" applyAlignment="0" applyProtection="0">
      <alignment horizontal="left"/>
    </xf>
    <xf numFmtId="0" fontId="95" fillId="0" borderId="0" applyNumberFormat="0" applyFill="0" applyBorder="0" applyAlignment="0" applyProtection="0"/>
    <xf numFmtId="0" fontId="96" fillId="0" borderId="7" applyNumberFormat="0" applyAlignment="0" applyProtection="0">
      <alignment horizontal="left" vertical="center"/>
    </xf>
    <xf numFmtId="0" fontId="96" fillId="0" borderId="4">
      <alignment horizontal="left" vertical="center"/>
    </xf>
    <xf numFmtId="8" fontId="34" fillId="0" borderId="0" applyProtection="0">
      <alignment horizontal="center"/>
    </xf>
    <xf numFmtId="0" fontId="20" fillId="0" borderId="0">
      <alignment horizontal="right"/>
    </xf>
    <xf numFmtId="0" fontId="20" fillId="0" borderId="0">
      <alignment horizontal="left"/>
    </xf>
    <xf numFmtId="0" fontId="15" fillId="0" borderId="0">
      <protection locked="0"/>
    </xf>
    <xf numFmtId="0" fontId="15" fillId="0" borderId="0">
      <protection locked="0"/>
    </xf>
    <xf numFmtId="0" fontId="97" fillId="0" borderId="40" applyNumberFormat="0" applyFill="0" applyBorder="0" applyAlignment="0" applyProtection="0">
      <alignment horizontal="left"/>
    </xf>
    <xf numFmtId="0" fontId="98" fillId="0" borderId="0">
      <alignment horizontal="center"/>
    </xf>
    <xf numFmtId="0" fontId="99" fillId="0" borderId="12"/>
    <xf numFmtId="0" fontId="15" fillId="13" borderId="6" applyNumberFormat="0" applyFont="0" applyBorder="0" applyAlignment="0" applyProtection="0"/>
    <xf numFmtId="0" fontId="15" fillId="13" borderId="6" applyNumberFormat="0" applyFont="0" applyBorder="0" applyAlignment="0" applyProtection="0"/>
    <xf numFmtId="0" fontId="15" fillId="13" borderId="6" applyNumberFormat="0" applyFont="0" applyBorder="0" applyAlignment="0" applyProtection="0"/>
    <xf numFmtId="0" fontId="15" fillId="13" borderId="6" applyNumberFormat="0" applyFont="0" applyBorder="0" applyAlignment="0" applyProtection="0"/>
    <xf numFmtId="0" fontId="15" fillId="13" borderId="6" applyNumberFormat="0" applyFont="0" applyBorder="0" applyAlignment="0" applyProtection="0"/>
    <xf numFmtId="0" fontId="15" fillId="13" borderId="6" applyNumberFormat="0" applyFont="0" applyBorder="0" applyAlignment="0" applyProtection="0"/>
    <xf numFmtId="3" fontId="49" fillId="0" borderId="0" applyNumberFormat="0" applyFill="0" applyBorder="0" applyAlignment="0" applyProtection="0"/>
    <xf numFmtId="231" fontId="9" fillId="0" borderId="0"/>
    <xf numFmtId="231" fontId="100" fillId="0" borderId="0" applyFont="0" applyFill="0" applyBorder="0" applyAlignment="0" applyProtection="0"/>
    <xf numFmtId="0" fontId="101" fillId="0" borderId="41" applyNumberFormat="0" applyFill="0" applyAlignment="0" applyProtection="0"/>
    <xf numFmtId="37" fontId="38" fillId="0" borderId="0" applyBorder="0"/>
    <xf numFmtId="10" fontId="86" fillId="19" borderId="1" applyNumberFormat="0" applyBorder="0" applyAlignment="0" applyProtection="0"/>
    <xf numFmtId="40" fontId="42" fillId="0" borderId="1">
      <protection locked="0"/>
    </xf>
    <xf numFmtId="38" fontId="42" fillId="0" borderId="1">
      <protection locked="0"/>
    </xf>
    <xf numFmtId="8" fontId="42" fillId="0" borderId="1">
      <protection locked="0"/>
    </xf>
    <xf numFmtId="6" fontId="42" fillId="0" borderId="1">
      <protection locked="0"/>
    </xf>
    <xf numFmtId="10" fontId="42" fillId="0" borderId="1">
      <protection locked="0"/>
    </xf>
    <xf numFmtId="9" fontId="42" fillId="0" borderId="1">
      <protection locked="0"/>
    </xf>
    <xf numFmtId="38" fontId="101" fillId="0" borderId="0"/>
    <xf numFmtId="40" fontId="9" fillId="0" borderId="0"/>
    <xf numFmtId="232" fontId="25" fillId="0" borderId="0">
      <alignment horizontal="left"/>
    </xf>
    <xf numFmtId="0" fontId="15" fillId="0" borderId="29"/>
    <xf numFmtId="2" fontId="102" fillId="0" borderId="1"/>
    <xf numFmtId="0" fontId="86" fillId="17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7" fontId="103" fillId="0" borderId="0" applyNumberFormat="0" applyFill="0" applyBorder="0" applyAlignment="0" applyProtection="0">
      <alignment horizontal="right"/>
    </xf>
    <xf numFmtId="44" fontId="8" fillId="0" borderId="0">
      <alignment horizontal="justify"/>
    </xf>
    <xf numFmtId="233" fontId="38" fillId="0" borderId="0"/>
    <xf numFmtId="234" fontId="27" fillId="0" borderId="0" applyFill="0" applyBorder="0" applyAlignment="0" applyProtection="0">
      <alignment horizontal="right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235" fontId="15" fillId="0" borderId="0" applyFont="0" applyFill="0" applyBorder="0" applyAlignment="0" applyProtection="0"/>
    <xf numFmtId="236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8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40" fontId="104" fillId="0" borderId="0" applyFont="0" applyFill="0" applyBorder="0" applyAlignment="0" applyProtection="0"/>
    <xf numFmtId="241" fontId="15" fillId="0" borderId="0" applyFont="0" applyFill="0" applyBorder="0" applyAlignment="0" applyProtection="0"/>
    <xf numFmtId="242" fontId="15" fillId="0" borderId="0" applyFont="0" applyFill="0" applyBorder="0" applyAlignment="0" applyProtection="0"/>
    <xf numFmtId="243" fontId="15" fillId="0" borderId="0" applyFont="0" applyFill="0" applyBorder="0" applyAlignment="0" applyProtection="0"/>
    <xf numFmtId="238" fontId="15" fillId="0" borderId="0" applyFont="0" applyFill="0" applyBorder="0" applyAlignment="0" applyProtection="0"/>
    <xf numFmtId="0" fontId="105" fillId="0" borderId="0"/>
    <xf numFmtId="0" fontId="27" fillId="0" borderId="0" applyFont="0" applyFill="0" applyBorder="0" applyAlignment="0" applyProtection="0">
      <alignment horizontal="right"/>
    </xf>
    <xf numFmtId="244" fontId="25" fillId="0" borderId="0" applyFont="0" applyFill="0" applyBorder="0" applyAlignment="0" applyProtection="0"/>
    <xf numFmtId="245" fontId="25" fillId="0" borderId="0" applyFont="0" applyFill="0" applyBorder="0" applyAlignment="0" applyProtection="0"/>
    <xf numFmtId="246" fontId="27" fillId="0" borderId="0" applyFont="0" applyFill="0" applyBorder="0" applyAlignment="0" applyProtection="0">
      <alignment horizontal="right"/>
    </xf>
    <xf numFmtId="37" fontId="106" fillId="0" borderId="0"/>
    <xf numFmtId="38" fontId="26" fillId="0" borderId="1"/>
    <xf numFmtId="247" fontId="107" fillId="0" borderId="0"/>
    <xf numFmtId="0" fontId="15" fillId="0" borderId="0"/>
    <xf numFmtId="0" fontId="61" fillId="13" borderId="42"/>
    <xf numFmtId="17" fontId="61" fillId="0" borderId="30">
      <alignment horizontal="center"/>
    </xf>
    <xf numFmtId="0" fontId="15" fillId="0" borderId="0"/>
    <xf numFmtId="0" fontId="108" fillId="0" borderId="0"/>
    <xf numFmtId="0" fontId="48" fillId="0" borderId="30"/>
    <xf numFmtId="248" fontId="9" fillId="16" borderId="0" applyBorder="0">
      <alignment vertical="center"/>
    </xf>
    <xf numFmtId="3" fontId="46" fillId="0" borderId="43">
      <protection locked="0"/>
    </xf>
    <xf numFmtId="9" fontId="46" fillId="0" borderId="43"/>
    <xf numFmtId="249" fontId="26" fillId="0" borderId="18"/>
    <xf numFmtId="3" fontId="9" fillId="0" borderId="1"/>
    <xf numFmtId="249" fontId="109" fillId="20" borderId="1"/>
    <xf numFmtId="192" fontId="110" fillId="0" borderId="0"/>
    <xf numFmtId="3" fontId="26" fillId="0" borderId="44"/>
    <xf numFmtId="0" fontId="26" fillId="0" borderId="1"/>
    <xf numFmtId="1" fontId="71" fillId="0" borderId="0">
      <alignment horizontal="right"/>
      <protection locked="0"/>
    </xf>
    <xf numFmtId="174" fontId="75" fillId="0" borderId="0">
      <alignment horizontal="right"/>
      <protection locked="0"/>
    </xf>
    <xf numFmtId="0" fontId="71" fillId="0" borderId="0">
      <protection locked="0"/>
    </xf>
    <xf numFmtId="2" fontId="75" fillId="0" borderId="0">
      <alignment horizontal="right"/>
      <protection locked="0"/>
    </xf>
    <xf numFmtId="2" fontId="71" fillId="0" borderId="0">
      <alignment horizontal="right"/>
      <protection locked="0"/>
    </xf>
    <xf numFmtId="250" fontId="15" fillId="0" borderId="0" applyFont="0" applyBorder="0" applyAlignment="0">
      <alignment horizontal="centerContinuous"/>
    </xf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0" fontId="15" fillId="0" borderId="39" applyNumberFormat="0" applyFont="0" applyFill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0" fontId="85" fillId="21" borderId="1" applyNumberFormat="0" applyAlignment="0">
      <protection locked="0"/>
    </xf>
    <xf numFmtId="0" fontId="47" fillId="0" borderId="45">
      <alignment horizontal="left" wrapText="1"/>
    </xf>
    <xf numFmtId="4" fontId="24" fillId="16" borderId="0">
      <alignment horizontal="right"/>
    </xf>
    <xf numFmtId="0" fontId="112" fillId="16" borderId="0">
      <alignment horizontal="center" vertical="center"/>
    </xf>
    <xf numFmtId="0" fontId="113" fillId="16" borderId="14"/>
    <xf numFmtId="0" fontId="112" fillId="16" borderId="0" applyBorder="0">
      <alignment horizontal="centerContinuous"/>
    </xf>
    <xf numFmtId="0" fontId="114" fillId="16" borderId="0" applyBorder="0">
      <alignment horizontal="centerContinuous"/>
    </xf>
    <xf numFmtId="0" fontId="15" fillId="0" borderId="46" applyNumberFormat="0" applyFont="0" applyFill="0" applyAlignment="0" applyProtection="0"/>
    <xf numFmtId="0" fontId="15" fillId="0" borderId="46" applyNumberFormat="0" applyFont="0" applyFill="0" applyAlignment="0" applyProtection="0"/>
    <xf numFmtId="0" fontId="15" fillId="0" borderId="46" applyNumberFormat="0" applyFont="0" applyFill="0" applyAlignment="0" applyProtection="0"/>
    <xf numFmtId="0" fontId="15" fillId="0" borderId="46" applyNumberFormat="0" applyFont="0" applyFill="0" applyAlignment="0" applyProtection="0"/>
    <xf numFmtId="0" fontId="15" fillId="0" borderId="46" applyNumberFormat="0" applyFont="0" applyFill="0" applyAlignment="0" applyProtection="0"/>
    <xf numFmtId="0" fontId="15" fillId="0" borderId="46" applyNumberFormat="0" applyFont="0" applyFill="0" applyAlignment="0" applyProtection="0"/>
    <xf numFmtId="0" fontId="15" fillId="0" borderId="5" applyNumberFormat="0" applyFont="0" applyFill="0" applyAlignment="0" applyProtection="0"/>
    <xf numFmtId="251" fontId="38" fillId="0" borderId="23" applyBorder="0"/>
    <xf numFmtId="0" fontId="115" fillId="0" borderId="0" applyProtection="0">
      <alignment horizontal="left"/>
    </xf>
    <xf numFmtId="0" fontId="115" fillId="0" borderId="0" applyFill="0" applyBorder="0" applyProtection="0">
      <alignment horizontal="left"/>
    </xf>
    <xf numFmtId="0" fontId="19" fillId="0" borderId="0" applyFill="0" applyBorder="0" applyProtection="0">
      <alignment horizontal="left"/>
    </xf>
    <xf numFmtId="1" fontId="116" fillId="0" borderId="0" applyProtection="0">
      <alignment horizontal="right" vertical="center"/>
    </xf>
    <xf numFmtId="0" fontId="117" fillId="22" borderId="47"/>
    <xf numFmtId="174" fontId="15" fillId="0" borderId="0" applyFill="0"/>
    <xf numFmtId="0" fontId="10" fillId="0" borderId="48" applyNumberFormat="0" applyAlignment="0" applyProtection="0"/>
    <xf numFmtId="0" fontId="9" fillId="20" borderId="0" applyNumberFormat="0" applyFont="0" applyBorder="0" applyAlignment="0" applyProtection="0"/>
    <xf numFmtId="0" fontId="86" fillId="23" borderId="49" applyNumberFormat="0" applyFont="0" applyBorder="0" applyAlignment="0" applyProtection="0">
      <alignment horizontal="center"/>
    </xf>
    <xf numFmtId="0" fontId="86" fillId="13" borderId="49" applyNumberFormat="0" applyFont="0" applyBorder="0" applyAlignment="0" applyProtection="0">
      <alignment horizontal="center"/>
    </xf>
    <xf numFmtId="0" fontId="9" fillId="0" borderId="50" applyNumberFormat="0" applyAlignment="0" applyProtection="0"/>
    <xf numFmtId="0" fontId="9" fillId="0" borderId="51" applyNumberFormat="0" applyAlignment="0" applyProtection="0"/>
    <xf numFmtId="0" fontId="10" fillId="0" borderId="52" applyNumberFormat="0" applyAlignment="0" applyProtection="0"/>
    <xf numFmtId="49" fontId="118" fillId="0" borderId="28" applyFill="0" applyProtection="0">
      <alignment vertical="center"/>
    </xf>
    <xf numFmtId="14" fontId="25" fillId="0" borderId="0">
      <alignment horizontal="center" wrapText="1"/>
      <protection locked="0"/>
    </xf>
    <xf numFmtId="0" fontId="25" fillId="0" borderId="0">
      <alignment horizontal="right"/>
    </xf>
    <xf numFmtId="0" fontId="59" fillId="0" borderId="0"/>
    <xf numFmtId="0" fontId="58" fillId="0" borderId="0"/>
    <xf numFmtId="0" fontId="59" fillId="0" borderId="0"/>
    <xf numFmtId="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70" fontId="25" fillId="0" borderId="0">
      <alignment horizontal="right"/>
    </xf>
    <xf numFmtId="10" fontId="25" fillId="0" borderId="0">
      <alignment horizontal="right"/>
    </xf>
    <xf numFmtId="252" fontId="25" fillId="0" borderId="0" applyFont="0" applyFill="0" applyBorder="0" applyProtection="0">
      <alignment horizontal="right"/>
    </xf>
    <xf numFmtId="9" fontId="25" fillId="0" borderId="0">
      <alignment horizontal="right"/>
    </xf>
    <xf numFmtId="9" fontId="61" fillId="0" borderId="20">
      <alignment horizontal="center"/>
    </xf>
    <xf numFmtId="170" fontId="25" fillId="0" borderId="0"/>
    <xf numFmtId="170" fontId="71" fillId="0" borderId="0"/>
    <xf numFmtId="10" fontId="25" fillId="0" borderId="0"/>
    <xf numFmtId="10" fontId="71" fillId="0" borderId="0">
      <protection locked="0"/>
    </xf>
    <xf numFmtId="9" fontId="61" fillId="0" borderId="20">
      <alignment horizontal="right"/>
    </xf>
    <xf numFmtId="253" fontId="15" fillId="0" borderId="0"/>
    <xf numFmtId="9" fontId="15" fillId="0" borderId="0" applyFont="0" applyFill="0" applyBorder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54" fontId="15" fillId="0" borderId="0" applyProtection="0">
      <alignment horizontal="right"/>
    </xf>
    <xf numFmtId="254" fontId="15" fillId="0" borderId="0">
      <alignment horizontal="right"/>
      <protection locked="0"/>
    </xf>
    <xf numFmtId="5" fontId="119" fillId="0" borderId="0"/>
    <xf numFmtId="0" fontId="120" fillId="0" borderId="0" applyNumberFormat="0" applyFont="0" applyFill="0" applyBorder="0" applyAlignment="0" applyProtection="0">
      <alignment horizontal="left"/>
    </xf>
    <xf numFmtId="15" fontId="120" fillId="0" borderId="0" applyFont="0" applyFill="0" applyBorder="0" applyAlignment="0" applyProtection="0"/>
    <xf numFmtId="4" fontId="120" fillId="0" borderId="0" applyFont="0" applyFill="0" applyBorder="0" applyAlignment="0" applyProtection="0"/>
    <xf numFmtId="0" fontId="121" fillId="0" borderId="23">
      <alignment horizontal="center"/>
    </xf>
    <xf numFmtId="3" fontId="120" fillId="0" borderId="0" applyFont="0" applyFill="0" applyBorder="0" applyAlignment="0" applyProtection="0"/>
    <xf numFmtId="0" fontId="120" fillId="24" borderId="0" applyNumberFormat="0" applyFon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2" fillId="25" borderId="0" applyNumberFormat="0" applyFont="0" applyBorder="0" applyAlignment="0">
      <alignment horizontal="center"/>
    </xf>
    <xf numFmtId="14" fontId="123" fillId="0" borderId="0" applyNumberFormat="0" applyFill="0" applyBorder="0" applyAlignment="0" applyProtection="0">
      <alignment horizontal="left"/>
    </xf>
    <xf numFmtId="0" fontId="124" fillId="0" borderId="0" applyNumberFormat="0" applyFill="0" applyBorder="0" applyProtection="0">
      <alignment horizontal="right" vertical="center"/>
    </xf>
    <xf numFmtId="0" fontId="64" fillId="0" borderId="0"/>
    <xf numFmtId="0" fontId="125" fillId="0" borderId="53">
      <alignment vertical="center"/>
    </xf>
    <xf numFmtId="0" fontId="119" fillId="0" borderId="54"/>
    <xf numFmtId="174" fontId="15" fillId="0" borderId="0" applyProtection="0">
      <alignment horizontal="center"/>
    </xf>
    <xf numFmtId="255" fontId="15" fillId="0" borderId="0" applyFont="0" applyFill="0" applyBorder="0" applyAlignment="0" applyProtection="0"/>
    <xf numFmtId="0" fontId="9" fillId="26" borderId="0" applyNumberFormat="0" applyFont="0" applyBorder="0" applyAlignment="0" applyProtection="0"/>
    <xf numFmtId="0" fontId="122" fillId="1" borderId="4" applyNumberFormat="0" applyFont="0" applyAlignment="0">
      <alignment horizontal="center"/>
    </xf>
    <xf numFmtId="42" fontId="50" fillId="0" borderId="0" applyFill="0" applyBorder="0" applyAlignment="0" applyProtection="0"/>
    <xf numFmtId="0" fontId="126" fillId="0" borderId="0" applyNumberFormat="0">
      <alignment horizontal="left"/>
    </xf>
    <xf numFmtId="2" fontId="23" fillId="0" borderId="55"/>
    <xf numFmtId="0" fontId="15" fillId="13" borderId="0" applyNumberFormat="0" applyBorder="0" applyProtection="0">
      <alignment horizontal="center"/>
    </xf>
    <xf numFmtId="0" fontId="127" fillId="0" borderId="0" applyNumberFormat="0" applyFill="0" applyBorder="0" applyAlignment="0">
      <alignment horizontal="center"/>
    </xf>
    <xf numFmtId="0" fontId="15" fillId="0" borderId="0"/>
    <xf numFmtId="0" fontId="128" fillId="0" borderId="0"/>
    <xf numFmtId="0" fontId="15" fillId="0" borderId="0">
      <alignment horizontal="left" wrapText="1"/>
    </xf>
    <xf numFmtId="0" fontId="109" fillId="0" borderId="56"/>
    <xf numFmtId="0" fontId="129" fillId="0" borderId="0"/>
    <xf numFmtId="0" fontId="130" fillId="0" borderId="0">
      <alignment horizontal="left"/>
    </xf>
    <xf numFmtId="216" fontId="15" fillId="0" borderId="0" applyFill="0" applyBorder="0" applyAlignment="0" applyProtection="0"/>
    <xf numFmtId="0" fontId="19" fillId="0" borderId="0"/>
    <xf numFmtId="0" fontId="56" fillId="0" borderId="0">
      <alignment horizontal="left" indent="1"/>
    </xf>
    <xf numFmtId="49" fontId="38" fillId="0" borderId="0"/>
    <xf numFmtId="0" fontId="131" fillId="0" borderId="0" applyFill="0" applyBorder="0" applyProtection="0">
      <alignment horizontal="center" vertical="center"/>
    </xf>
    <xf numFmtId="0" fontId="132" fillId="0" borderId="0" applyBorder="0" applyProtection="0">
      <alignment vertical="center"/>
    </xf>
    <xf numFmtId="0" fontId="132" fillId="0" borderId="28" applyBorder="0" applyProtection="0">
      <alignment horizontal="right" vertical="center"/>
    </xf>
    <xf numFmtId="0" fontId="133" fillId="27" borderId="0" applyBorder="0" applyProtection="0">
      <alignment horizontal="centerContinuous" vertical="center"/>
    </xf>
    <xf numFmtId="0" fontId="133" fillId="2" borderId="28" applyBorder="0" applyProtection="0">
      <alignment horizontal="centerContinuous" vertical="center"/>
    </xf>
    <xf numFmtId="0" fontId="134" fillId="0" borderId="0"/>
    <xf numFmtId="0" fontId="135" fillId="0" borderId="0" applyBorder="0" applyProtection="0">
      <alignment horizontal="left"/>
    </xf>
    <xf numFmtId="0" fontId="136" fillId="0" borderId="0" applyFill="0" applyBorder="0" applyProtection="0"/>
    <xf numFmtId="0" fontId="108" fillId="0" borderId="0"/>
    <xf numFmtId="0" fontId="137" fillId="0" borderId="0" applyFill="0" applyBorder="0" applyProtection="0">
      <alignment horizontal="left"/>
    </xf>
    <xf numFmtId="0" fontId="83" fillId="0" borderId="57" applyFill="0" applyBorder="0" applyProtection="0">
      <alignment horizontal="left" vertical="top"/>
    </xf>
    <xf numFmtId="0" fontId="10" fillId="0" borderId="0">
      <alignment horizontal="centerContinuous"/>
    </xf>
    <xf numFmtId="206" fontId="138" fillId="0" borderId="0" applyNumberFormat="0" applyFill="0" applyBorder="0">
      <alignment horizontal="left"/>
    </xf>
    <xf numFmtId="0" fontId="139" fillId="0" borderId="0"/>
    <xf numFmtId="0" fontId="71" fillId="0" borderId="0">
      <alignment horizontal="left"/>
      <protection locked="0"/>
    </xf>
    <xf numFmtId="0" fontId="140" fillId="0" borderId="0"/>
    <xf numFmtId="49" fontId="24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8" fontId="38" fillId="0" borderId="0" applyFill="0" applyProtection="0">
      <alignment horizont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0" fontId="12" fillId="0" borderId="0"/>
    <xf numFmtId="0" fontId="11" fillId="0" borderId="0" applyNumberFormat="0" applyFont="0" applyBorder="0" applyAlignment="0"/>
    <xf numFmtId="0" fontId="141" fillId="0" borderId="0">
      <alignment horizontal="center"/>
    </xf>
    <xf numFmtId="232" fontId="10" fillId="0" borderId="0">
      <alignment horizontal="centerContinuous"/>
    </xf>
    <xf numFmtId="232" fontId="142" fillId="0" borderId="58">
      <alignment horizontal="centerContinuous"/>
    </xf>
    <xf numFmtId="232" fontId="14" fillId="0" borderId="0">
      <alignment horizontal="centerContinuous"/>
      <protection locked="0"/>
    </xf>
    <xf numFmtId="232" fontId="14" fillId="0" borderId="0">
      <alignment horizontal="left"/>
    </xf>
    <xf numFmtId="0" fontId="36" fillId="0" borderId="0">
      <alignment horizontal="center"/>
    </xf>
    <xf numFmtId="0" fontId="36" fillId="0" borderId="0">
      <alignment horizontal="left"/>
    </xf>
    <xf numFmtId="0" fontId="85" fillId="0" borderId="0">
      <alignment horizontal="center"/>
    </xf>
    <xf numFmtId="39" fontId="143" fillId="0" borderId="0">
      <alignment vertical="center"/>
    </xf>
    <xf numFmtId="39" fontId="143" fillId="0" borderId="0">
      <alignment vertical="center"/>
    </xf>
    <xf numFmtId="39" fontId="144" fillId="0" borderId="0">
      <alignment vertical="center"/>
    </xf>
    <xf numFmtId="0" fontId="145" fillId="0" borderId="0"/>
    <xf numFmtId="44" fontId="61" fillId="0" borderId="20"/>
    <xf numFmtId="0" fontId="146" fillId="0" borderId="0" applyNumberFormat="0" applyFill="0" applyBorder="0" applyAlignment="0" applyProtection="0">
      <alignment horizontal="left"/>
    </xf>
    <xf numFmtId="0" fontId="147" fillId="0" borderId="0" applyNumberFormat="0" applyFill="0" applyBorder="0" applyAlignment="0" applyProtection="0">
      <alignment horizontal="left"/>
    </xf>
    <xf numFmtId="0" fontId="148" fillId="0" borderId="0" applyNumberFormat="0" applyFill="0" applyBorder="0" applyAlignment="0" applyProtection="0">
      <alignment horizontal="left"/>
    </xf>
    <xf numFmtId="0" fontId="149" fillId="0" borderId="0" applyNumberFormat="0" applyFill="0" applyBorder="0" applyAlignment="0" applyProtection="0">
      <alignment horizontal="left"/>
    </xf>
    <xf numFmtId="0" fontId="150" fillId="0" borderId="0" applyNumberFormat="0" applyFill="0" applyBorder="0" applyAlignment="0" applyProtection="0">
      <alignment horizontal="left"/>
    </xf>
    <xf numFmtId="0" fontId="149" fillId="0" borderId="0" applyNumberFormat="0" applyFill="0" applyBorder="0" applyAlignment="0" applyProtection="0">
      <alignment horizontal="left"/>
    </xf>
    <xf numFmtId="0" fontId="150" fillId="0" borderId="0" applyNumberFormat="0" applyFill="0" applyBorder="0" applyAlignment="0" applyProtection="0">
      <alignment horizontal="left"/>
    </xf>
    <xf numFmtId="0" fontId="151" fillId="0" borderId="0">
      <alignment horizontal="left"/>
    </xf>
    <xf numFmtId="0" fontId="38" fillId="0" borderId="0" applyNumberFormat="0" applyFill="0" applyBorder="0" applyAlignment="0" applyProtection="0">
      <alignment horizontal="left"/>
    </xf>
    <xf numFmtId="44" fontId="152" fillId="0" borderId="20"/>
    <xf numFmtId="37" fontId="61" fillId="0" borderId="20"/>
    <xf numFmtId="0" fontId="15" fillId="13" borderId="0" applyNumberFormat="0" applyFont="0" applyBorder="0" applyAlignment="0" applyProtection="0"/>
    <xf numFmtId="0" fontId="15" fillId="13" borderId="0" applyNumberFormat="0" applyFont="0" applyBorder="0" applyAlignment="0" applyProtection="0"/>
    <xf numFmtId="0" fontId="15" fillId="13" borderId="0" applyNumberFormat="0" applyFont="0" applyBorder="0" applyAlignment="0" applyProtection="0"/>
    <xf numFmtId="0" fontId="15" fillId="13" borderId="0" applyNumberFormat="0" applyFont="0" applyBorder="0" applyAlignment="0" applyProtection="0"/>
    <xf numFmtId="0" fontId="15" fillId="13" borderId="0" applyNumberFormat="0" applyFont="0" applyBorder="0" applyAlignment="0" applyProtection="0"/>
    <xf numFmtId="0" fontId="15" fillId="13" borderId="0" applyNumberFormat="0" applyFont="0" applyBorder="0" applyAlignment="0" applyProtection="0"/>
    <xf numFmtId="256" fontId="15" fillId="0" borderId="0">
      <alignment horizontal="right"/>
    </xf>
    <xf numFmtId="206" fontId="153" fillId="0" borderId="0">
      <alignment horizontal="left"/>
      <protection locked="0"/>
    </xf>
    <xf numFmtId="225" fontId="142" fillId="0" borderId="0">
      <alignment horizontal="right"/>
    </xf>
    <xf numFmtId="226" fontId="15" fillId="0" borderId="0">
      <alignment horizontal="right"/>
    </xf>
    <xf numFmtId="1" fontId="142" fillId="0" borderId="0">
      <alignment horizontal="left"/>
    </xf>
    <xf numFmtId="224" fontId="142" fillId="0" borderId="0">
      <alignment horizontal="right"/>
    </xf>
    <xf numFmtId="0" fontId="154" fillId="0" borderId="0">
      <alignment horizontal="fill"/>
    </xf>
    <xf numFmtId="0" fontId="15" fillId="0" borderId="23" applyNumberFormat="0" applyFont="0" applyFill="0" applyAlignment="0" applyProtection="0"/>
    <xf numFmtId="0" fontId="15" fillId="0" borderId="23" applyNumberFormat="0" applyFont="0" applyFill="0" applyAlignment="0" applyProtection="0"/>
    <xf numFmtId="0" fontId="15" fillId="0" borderId="23" applyNumberFormat="0" applyFont="0" applyFill="0" applyAlignment="0" applyProtection="0"/>
    <xf numFmtId="0" fontId="15" fillId="0" borderId="23" applyNumberFormat="0" applyFont="0" applyFill="0" applyAlignment="0" applyProtection="0"/>
    <xf numFmtId="0" fontId="15" fillId="0" borderId="23" applyNumberFormat="0" applyFont="0" applyFill="0" applyAlignment="0" applyProtection="0"/>
    <xf numFmtId="0" fontId="15" fillId="0" borderId="23" applyNumberFormat="0" applyFont="0" applyFill="0" applyAlignment="0" applyProtection="0"/>
    <xf numFmtId="37" fontId="86" fillId="28" borderId="0" applyNumberFormat="0" applyBorder="0" applyAlignment="0" applyProtection="0"/>
    <xf numFmtId="37" fontId="86" fillId="0" borderId="0"/>
    <xf numFmtId="3" fontId="155" fillId="0" borderId="41" applyProtection="0"/>
    <xf numFmtId="0" fontId="15" fillId="0" borderId="0"/>
    <xf numFmtId="257" fontId="15" fillId="0" borderId="0" applyFont="0" applyFill="0" applyBorder="0" applyAlignment="0" applyProtection="0"/>
    <xf numFmtId="258" fontId="15" fillId="0" borderId="0" applyFont="0" applyFill="0" applyBorder="0" applyAlignment="0" applyProtection="0"/>
    <xf numFmtId="4" fontId="104" fillId="0" borderId="0" applyFont="0" applyFill="0" applyBorder="0" applyAlignment="0" applyProtection="0"/>
    <xf numFmtId="192" fontId="156" fillId="0" borderId="0"/>
    <xf numFmtId="0" fontId="157" fillId="29" borderId="0">
      <alignment horizontal="right"/>
    </xf>
    <xf numFmtId="192" fontId="157" fillId="29" borderId="0">
      <alignment horizontal="right"/>
    </xf>
    <xf numFmtId="192" fontId="157" fillId="29" borderId="0">
      <alignment horizontal="right"/>
    </xf>
    <xf numFmtId="0" fontId="157" fillId="29" borderId="0">
      <alignment horizontal="right"/>
    </xf>
    <xf numFmtId="192" fontId="157" fillId="29" borderId="0">
      <alignment horizontal="right"/>
    </xf>
    <xf numFmtId="192" fontId="157" fillId="29" borderId="0">
      <alignment horizontal="right"/>
    </xf>
    <xf numFmtId="259" fontId="158" fillId="0" borderId="28" applyBorder="0" applyProtection="0">
      <alignment horizontal="right"/>
    </xf>
    <xf numFmtId="0" fontId="50" fillId="0" borderId="0" applyFont="0" applyFill="0" applyBorder="0" applyAlignment="0" applyProtection="0"/>
    <xf numFmtId="260" fontId="14" fillId="0" borderId="49">
      <alignment horizontal="center"/>
    </xf>
    <xf numFmtId="0" fontId="159" fillId="0" borderId="0">
      <alignment vertical="center"/>
    </xf>
    <xf numFmtId="40" fontId="120" fillId="0" borderId="0" applyFont="0" applyFill="0" applyBorder="0" applyAlignment="0" applyProtection="0"/>
    <xf numFmtId="41" fontId="160" fillId="0" borderId="0" applyFont="0" applyFill="0" applyBorder="0" applyAlignment="0" applyProtection="0"/>
    <xf numFmtId="0" fontId="26" fillId="0" borderId="0"/>
    <xf numFmtId="8" fontId="120" fillId="0" borderId="0" applyFont="0" applyFill="0" applyBorder="0" applyAlignment="0" applyProtection="0"/>
    <xf numFmtId="6" fontId="120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5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/>
    <xf numFmtId="43" fontId="164" fillId="0" borderId="0" applyFont="0" applyFill="0" applyBorder="0" applyAlignment="0" applyProtection="0"/>
    <xf numFmtId="0" fontId="166" fillId="0" borderId="62" applyNumberFormat="0" applyFill="0" applyAlignment="0" applyProtection="0"/>
    <xf numFmtId="0" fontId="164" fillId="0" borderId="0"/>
    <xf numFmtId="0" fontId="2" fillId="0" borderId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6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937">
    <xf numFmtId="0" fontId="0" fillId="0" borderId="0" xfId="0"/>
    <xf numFmtId="0" fontId="167" fillId="36" borderId="0" xfId="1347" applyFont="1" applyFill="1"/>
    <xf numFmtId="0" fontId="2" fillId="36" borderId="0" xfId="1347" applyFill="1"/>
    <xf numFmtId="0" fontId="2" fillId="37" borderId="0" xfId="1347" applyFill="1"/>
    <xf numFmtId="0" fontId="170" fillId="36" borderId="0" xfId="1357" applyFont="1" applyFill="1"/>
    <xf numFmtId="8" fontId="2" fillId="37" borderId="0" xfId="1347" applyNumberFormat="1" applyFill="1" applyAlignment="1">
      <alignment horizontal="center"/>
    </xf>
    <xf numFmtId="6" fontId="2" fillId="37" borderId="0" xfId="1347" applyNumberFormat="1" applyFill="1" applyAlignment="1">
      <alignment horizontal="center"/>
    </xf>
    <xf numFmtId="9" fontId="2" fillId="37" borderId="0" xfId="1347" applyNumberFormat="1" applyFill="1" applyAlignment="1">
      <alignment horizontal="center"/>
    </xf>
    <xf numFmtId="172" fontId="0" fillId="37" borderId="0" xfId="1358" applyNumberFormat="1" applyFont="1" applyFill="1"/>
    <xf numFmtId="10" fontId="2" fillId="37" borderId="0" xfId="1347" applyNumberFormat="1" applyFill="1" applyAlignment="1">
      <alignment horizontal="center"/>
    </xf>
    <xf numFmtId="172" fontId="2" fillId="37" borderId="0" xfId="1347" applyNumberFormat="1" applyFill="1"/>
    <xf numFmtId="0" fontId="167" fillId="36" borderId="0" xfId="1347" applyFont="1" applyFill="1" applyAlignment="1">
      <alignment horizontal="right"/>
    </xf>
    <xf numFmtId="169" fontId="0" fillId="37" borderId="0" xfId="1358" applyNumberFormat="1" applyFont="1" applyFill="1" applyBorder="1" applyAlignment="1">
      <alignment horizontal="center"/>
    </xf>
    <xf numFmtId="0" fontId="178" fillId="0" borderId="0" xfId="0" applyFont="1"/>
    <xf numFmtId="0" fontId="23" fillId="0" borderId="0" xfId="5" applyFont="1"/>
    <xf numFmtId="0" fontId="23" fillId="0" borderId="0" xfId="5" applyFont="1" applyAlignment="1">
      <alignment horizontal="right"/>
    </xf>
    <xf numFmtId="171" fontId="180" fillId="0" borderId="0" xfId="0" applyNumberFormat="1" applyFont="1" applyAlignment="1">
      <alignment horizontal="center"/>
    </xf>
    <xf numFmtId="1" fontId="113" fillId="0" borderId="0" xfId="0" applyNumberFormat="1" applyFont="1" applyAlignment="1">
      <alignment horizontal="left"/>
    </xf>
    <xf numFmtId="0" fontId="180" fillId="0" borderId="0" xfId="0" applyFont="1"/>
    <xf numFmtId="178" fontId="181" fillId="8" borderId="15" xfId="0" applyNumberFormat="1" applyFont="1" applyFill="1" applyBorder="1" applyAlignment="1">
      <alignment horizontal="center"/>
    </xf>
    <xf numFmtId="178" fontId="181" fillId="8" borderId="0" xfId="0" applyNumberFormat="1" applyFont="1" applyFill="1" applyAlignment="1">
      <alignment horizontal="center"/>
    </xf>
    <xf numFmtId="0" fontId="181" fillId="8" borderId="15" xfId="0" applyFont="1" applyFill="1" applyBorder="1" applyAlignment="1">
      <alignment horizontal="left"/>
    </xf>
    <xf numFmtId="0" fontId="181" fillId="8" borderId="0" xfId="0" applyFont="1" applyFill="1" applyAlignment="1">
      <alignment horizontal="center"/>
    </xf>
    <xf numFmtId="0" fontId="181" fillId="8" borderId="6" xfId="0" applyFont="1" applyFill="1" applyBorder="1" applyAlignment="1">
      <alignment horizontal="center"/>
    </xf>
    <xf numFmtId="0" fontId="15" fillId="0" borderId="75" xfId="0" applyFont="1" applyBorder="1"/>
    <xf numFmtId="182" fontId="23" fillId="0" borderId="76" xfId="22" applyNumberFormat="1" applyFont="1" applyBorder="1" applyAlignment="1">
      <alignment horizontal="center"/>
    </xf>
    <xf numFmtId="179" fontId="23" fillId="0" borderId="76" xfId="22" applyNumberFormat="1" applyFont="1" applyBorder="1" applyAlignment="1">
      <alignment horizontal="center" vertical="center"/>
    </xf>
    <xf numFmtId="0" fontId="15" fillId="4" borderId="76" xfId="0" applyFont="1" applyFill="1" applyBorder="1" applyAlignment="1">
      <alignment horizontal="center"/>
    </xf>
    <xf numFmtId="0" fontId="15" fillId="0" borderId="85" xfId="0" applyFont="1" applyBorder="1"/>
    <xf numFmtId="171" fontId="15" fillId="4" borderId="86" xfId="22" applyNumberFormat="1" applyFont="1" applyFill="1" applyBorder="1" applyAlignment="1">
      <alignment horizontal="center"/>
    </xf>
    <xf numFmtId="180" fontId="23" fillId="0" borderId="86" xfId="22" applyNumberFormat="1" applyFont="1" applyBorder="1" applyAlignment="1">
      <alignment horizontal="center" vertical="center"/>
    </xf>
    <xf numFmtId="168" fontId="23" fillId="0" borderId="86" xfId="2" applyNumberFormat="1" applyFont="1" applyBorder="1" applyAlignment="1">
      <alignment horizontal="center"/>
    </xf>
    <xf numFmtId="0" fontId="15" fillId="4" borderId="59" xfId="0" applyFont="1" applyFill="1" applyBorder="1"/>
    <xf numFmtId="0" fontId="15" fillId="0" borderId="8" xfId="0" applyFont="1" applyBorder="1"/>
    <xf numFmtId="171" fontId="15" fillId="0" borderId="67" xfId="22" applyNumberFormat="1" applyFont="1" applyFill="1" applyBorder="1" applyAlignment="1">
      <alignment horizontal="center"/>
    </xf>
    <xf numFmtId="180" fontId="23" fillId="0" borderId="67" xfId="22" applyNumberFormat="1" applyFont="1" applyFill="1" applyBorder="1" applyAlignment="1">
      <alignment horizontal="center" vertical="center"/>
    </xf>
    <xf numFmtId="168" fontId="23" fillId="0" borderId="67" xfId="2" applyNumberFormat="1" applyFont="1" applyBorder="1" applyAlignment="1">
      <alignment horizontal="center"/>
    </xf>
    <xf numFmtId="0" fontId="15" fillId="0" borderId="89" xfId="0" applyFont="1" applyBorder="1"/>
    <xf numFmtId="8" fontId="15" fillId="0" borderId="67" xfId="0" applyNumberFormat="1" applyFont="1" applyBorder="1"/>
    <xf numFmtId="6" fontId="15" fillId="0" borderId="67" xfId="0" applyNumberFormat="1" applyFont="1" applyBorder="1"/>
    <xf numFmtId="6" fontId="180" fillId="0" borderId="0" xfId="0" applyNumberFormat="1" applyFont="1"/>
    <xf numFmtId="8" fontId="15" fillId="0" borderId="0" xfId="0" applyNumberFormat="1" applyFont="1"/>
    <xf numFmtId="6" fontId="15" fillId="0" borderId="0" xfId="0" applyNumberFormat="1" applyFont="1"/>
    <xf numFmtId="0" fontId="15" fillId="0" borderId="90" xfId="0" applyFont="1" applyBorder="1"/>
    <xf numFmtId="3" fontId="15" fillId="0" borderId="91" xfId="0" applyNumberFormat="1" applyFont="1" applyBorder="1"/>
    <xf numFmtId="0" fontId="15" fillId="0" borderId="0" xfId="0" applyFont="1"/>
    <xf numFmtId="180" fontId="23" fillId="0" borderId="0" xfId="22" applyNumberFormat="1" applyFont="1" applyFill="1" applyBorder="1" applyAlignment="1">
      <alignment horizontal="center" vertical="center"/>
    </xf>
    <xf numFmtId="168" fontId="23" fillId="0" borderId="0" xfId="2" applyNumberFormat="1" applyFont="1" applyAlignment="1">
      <alignment horizontal="center"/>
    </xf>
    <xf numFmtId="5" fontId="15" fillId="11" borderId="3" xfId="22" applyNumberFormat="1" applyFont="1" applyFill="1" applyBorder="1" applyAlignment="1">
      <alignment horizontal="center"/>
    </xf>
    <xf numFmtId="0" fontId="15" fillId="0" borderId="69" xfId="0" applyFont="1" applyBorder="1"/>
    <xf numFmtId="5" fontId="23" fillId="0" borderId="70" xfId="22" applyNumberFormat="1" applyFont="1" applyBorder="1" applyAlignment="1">
      <alignment horizontal="center"/>
    </xf>
    <xf numFmtId="177" fontId="184" fillId="0" borderId="69" xfId="0" applyNumberFormat="1" applyFont="1" applyBorder="1" applyAlignment="1">
      <alignment horizontal="left"/>
    </xf>
    <xf numFmtId="5" fontId="15" fillId="0" borderId="70" xfId="22" applyNumberFormat="1" applyFont="1" applyBorder="1" applyAlignment="1">
      <alignment horizontal="center"/>
    </xf>
    <xf numFmtId="5" fontId="23" fillId="3" borderId="59" xfId="22" applyNumberFormat="1" applyFont="1" applyFill="1" applyBorder="1" applyAlignment="1">
      <alignment horizontal="center"/>
    </xf>
    <xf numFmtId="5" fontId="23" fillId="3" borderId="61" xfId="22" applyNumberFormat="1" applyFont="1" applyFill="1" applyBorder="1" applyAlignment="1">
      <alignment horizontal="center"/>
    </xf>
    <xf numFmtId="0" fontId="181" fillId="8" borderId="10" xfId="0" applyFont="1" applyFill="1" applyBorder="1" applyAlignment="1">
      <alignment horizontal="center"/>
    </xf>
    <xf numFmtId="0" fontId="183" fillId="0" borderId="67" xfId="0" applyFont="1" applyBorder="1" applyAlignment="1">
      <alignment horizontal="left"/>
    </xf>
    <xf numFmtId="5" fontId="183" fillId="0" borderId="67" xfId="0" applyNumberFormat="1" applyFont="1" applyBorder="1" applyAlignment="1">
      <alignment horizontal="center"/>
    </xf>
    <xf numFmtId="0" fontId="185" fillId="8" borderId="59" xfId="2" applyFont="1" applyFill="1" applyBorder="1" applyAlignment="1">
      <alignment horizontal="right" wrapText="1"/>
    </xf>
    <xf numFmtId="10" fontId="186" fillId="8" borderId="59" xfId="2" applyNumberFormat="1" applyFont="1" applyFill="1" applyBorder="1" applyAlignment="1">
      <alignment horizontal="center"/>
    </xf>
    <xf numFmtId="0" fontId="181" fillId="8" borderId="0" xfId="0" applyFont="1" applyFill="1" applyAlignment="1">
      <alignment horizontal="center" wrapText="1"/>
    </xf>
    <xf numFmtId="0" fontId="15" fillId="0" borderId="63" xfId="0" applyFont="1" applyBorder="1" applyAlignment="1">
      <alignment wrapText="1"/>
    </xf>
    <xf numFmtId="5" fontId="15" fillId="0" borderId="67" xfId="22" applyNumberFormat="1" applyFont="1" applyFill="1" applyBorder="1" applyAlignment="1">
      <alignment horizontal="center"/>
    </xf>
    <xf numFmtId="10" fontId="180" fillId="0" borderId="0" xfId="1" applyNumberFormat="1" applyFont="1"/>
    <xf numFmtId="265" fontId="182" fillId="0" borderId="0" xfId="0" applyNumberFormat="1" applyFont="1" applyAlignment="1">
      <alignment horizontal="center"/>
    </xf>
    <xf numFmtId="7" fontId="180" fillId="5" borderId="0" xfId="0" applyNumberFormat="1" applyFont="1" applyFill="1"/>
    <xf numFmtId="5" fontId="180" fillId="5" borderId="0" xfId="0" applyNumberFormat="1" applyFont="1" applyFill="1"/>
    <xf numFmtId="5" fontId="23" fillId="3" borderId="67" xfId="22" applyNumberFormat="1" applyFont="1" applyFill="1" applyBorder="1" applyAlignment="1">
      <alignment horizontal="center"/>
    </xf>
    <xf numFmtId="169" fontId="180" fillId="0" borderId="0" xfId="0" applyNumberFormat="1" applyFont="1"/>
    <xf numFmtId="7" fontId="180" fillId="0" borderId="0" xfId="0" applyNumberFormat="1" applyFont="1"/>
    <xf numFmtId="0" fontId="188" fillId="0" borderId="0" xfId="0" applyFont="1"/>
    <xf numFmtId="267" fontId="23" fillId="0" borderId="0" xfId="0" applyNumberFormat="1" applyFont="1"/>
    <xf numFmtId="6" fontId="23" fillId="0" borderId="0" xfId="1" applyNumberFormat="1" applyFont="1" applyFill="1" applyBorder="1" applyAlignment="1">
      <alignment horizontal="center"/>
    </xf>
    <xf numFmtId="0" fontId="183" fillId="0" borderId="67" xfId="0" applyFont="1" applyBorder="1" applyAlignment="1">
      <alignment horizontal="right"/>
    </xf>
    <xf numFmtId="6" fontId="183" fillId="0" borderId="67" xfId="0" applyNumberFormat="1" applyFont="1" applyBorder="1" applyAlignment="1">
      <alignment horizontal="center"/>
    </xf>
    <xf numFmtId="0" fontId="183" fillId="0" borderId="8" xfId="0" applyFont="1" applyBorder="1" applyAlignment="1">
      <alignment horizontal="right"/>
    </xf>
    <xf numFmtId="5" fontId="15" fillId="0" borderId="67" xfId="22" applyNumberFormat="1" applyFont="1" applyBorder="1"/>
    <xf numFmtId="5" fontId="15" fillId="0" borderId="3" xfId="22" applyNumberFormat="1" applyFont="1" applyBorder="1"/>
    <xf numFmtId="5" fontId="23" fillId="0" borderId="3" xfId="0" applyNumberFormat="1" applyFont="1" applyBorder="1"/>
    <xf numFmtId="0" fontId="180" fillId="0" borderId="15" xfId="0" applyFont="1" applyBorder="1" applyAlignment="1">
      <alignment horizontal="right"/>
    </xf>
    <xf numFmtId="37" fontId="15" fillId="0" borderId="61" xfId="22" applyNumberFormat="1" applyFont="1" applyBorder="1"/>
    <xf numFmtId="168" fontId="180" fillId="0" borderId="0" xfId="0" applyNumberFormat="1" applyFont="1"/>
    <xf numFmtId="169" fontId="23" fillId="0" borderId="61" xfId="22" applyNumberFormat="1" applyFont="1" applyBorder="1"/>
    <xf numFmtId="5" fontId="180" fillId="0" borderId="0" xfId="0" applyNumberFormat="1" applyFont="1"/>
    <xf numFmtId="0" fontId="181" fillId="0" borderId="61" xfId="0" applyFont="1" applyBorder="1" applyAlignment="1">
      <alignment horizontal="center"/>
    </xf>
    <xf numFmtId="0" fontId="181" fillId="0" borderId="15" xfId="0" applyFont="1" applyBorder="1" applyAlignment="1">
      <alignment horizontal="center"/>
    </xf>
    <xf numFmtId="0" fontId="180" fillId="0" borderId="0" xfId="0" applyFont="1" applyAlignment="1">
      <alignment horizontal="right"/>
    </xf>
    <xf numFmtId="0" fontId="178" fillId="0" borderId="0" xfId="0" applyFont="1" applyAlignment="1">
      <alignment horizontal="center"/>
    </xf>
    <xf numFmtId="0" fontId="178" fillId="0" borderId="90" xfId="0" applyFont="1" applyBorder="1"/>
    <xf numFmtId="169" fontId="178" fillId="0" borderId="59" xfId="0" applyNumberFormat="1" applyFont="1" applyBorder="1" applyAlignment="1">
      <alignment horizontal="center"/>
    </xf>
    <xf numFmtId="0" fontId="180" fillId="37" borderId="0" xfId="1347" applyFont="1" applyFill="1"/>
    <xf numFmtId="14" fontId="190" fillId="37" borderId="0" xfId="1347" applyNumberFormat="1" applyFont="1" applyFill="1" applyAlignment="1">
      <alignment horizontal="center"/>
    </xf>
    <xf numFmtId="14" fontId="180" fillId="37" borderId="0" xfId="1347" applyNumberFormat="1" applyFont="1" applyFill="1" applyAlignment="1">
      <alignment horizontal="center"/>
    </xf>
    <xf numFmtId="0" fontId="180" fillId="37" borderId="0" xfId="1347" applyFont="1" applyFill="1" applyAlignment="1">
      <alignment horizontal="left" vertical="center" indent="1"/>
    </xf>
    <xf numFmtId="0" fontId="23" fillId="37" borderId="15" xfId="1347" applyFont="1" applyFill="1" applyBorder="1" applyAlignment="1">
      <alignment vertical="center"/>
    </xf>
    <xf numFmtId="0" fontId="23" fillId="37" borderId="0" xfId="1347" applyFont="1" applyFill="1" applyAlignment="1">
      <alignment vertical="center"/>
    </xf>
    <xf numFmtId="0" fontId="23" fillId="37" borderId="0" xfId="1347" applyFont="1" applyFill="1" applyAlignment="1">
      <alignment horizontal="center" vertical="center"/>
    </xf>
    <xf numFmtId="0" fontId="23" fillId="37" borderId="6" xfId="1347" applyFont="1" applyFill="1" applyBorder="1" applyAlignment="1">
      <alignment horizontal="center" vertical="center"/>
    </xf>
    <xf numFmtId="0" fontId="23" fillId="37" borderId="77" xfId="1347" applyFont="1" applyFill="1" applyBorder="1" applyAlignment="1">
      <alignment vertical="center"/>
    </xf>
    <xf numFmtId="0" fontId="23" fillId="37" borderId="78" xfId="1347" applyFont="1" applyFill="1" applyBorder="1" applyAlignment="1">
      <alignment horizontal="center" vertical="center"/>
    </xf>
    <xf numFmtId="0" fontId="191" fillId="37" borderId="66" xfId="1347" applyFont="1" applyFill="1" applyBorder="1" applyAlignment="1">
      <alignment horizontal="left" vertical="center"/>
    </xf>
    <xf numFmtId="0" fontId="15" fillId="37" borderId="2" xfId="1347" applyFont="1" applyFill="1" applyBorder="1" applyAlignment="1">
      <alignment horizontal="center" vertical="center"/>
    </xf>
    <xf numFmtId="0" fontId="15" fillId="37" borderId="15" xfId="1347" applyFont="1" applyFill="1" applyBorder="1" applyAlignment="1">
      <alignment horizontal="left" vertical="center"/>
    </xf>
    <xf numFmtId="0" fontId="183" fillId="37" borderId="15" xfId="1347" applyFont="1" applyFill="1" applyBorder="1" applyAlignment="1">
      <alignment horizontal="left" vertical="center"/>
    </xf>
    <xf numFmtId="0" fontId="180" fillId="37" borderId="6" xfId="1347" applyFont="1" applyFill="1" applyBorder="1" applyAlignment="1">
      <alignment vertical="center"/>
    </xf>
    <xf numFmtId="0" fontId="15" fillId="37" borderId="57" xfId="1347" applyFont="1" applyFill="1" applyBorder="1" applyAlignment="1">
      <alignment horizontal="left" vertical="center" indent="1"/>
    </xf>
    <xf numFmtId="0" fontId="23" fillId="37" borderId="14" xfId="1347" applyFont="1" applyFill="1" applyBorder="1" applyAlignment="1">
      <alignment horizontal="center" vertical="center"/>
    </xf>
    <xf numFmtId="0" fontId="180" fillId="37" borderId="15" xfId="1347" applyFont="1" applyFill="1" applyBorder="1"/>
    <xf numFmtId="0" fontId="180" fillId="37" borderId="15" xfId="1347" applyFont="1" applyFill="1" applyBorder="1" applyAlignment="1">
      <alignment horizontal="left" vertical="center" indent="1"/>
    </xf>
    <xf numFmtId="10" fontId="190" fillId="37" borderId="6" xfId="1347" applyNumberFormat="1" applyFont="1" applyFill="1" applyBorder="1" applyAlignment="1">
      <alignment horizontal="center" vertical="center"/>
    </xf>
    <xf numFmtId="0" fontId="191" fillId="37" borderId="57" xfId="1347" applyFont="1" applyFill="1" applyBorder="1" applyAlignment="1">
      <alignment horizontal="left" vertical="center"/>
    </xf>
    <xf numFmtId="0" fontId="15" fillId="37" borderId="14" xfId="1347" applyFont="1" applyFill="1" applyBorder="1" applyAlignment="1">
      <alignment horizontal="center" vertical="center"/>
    </xf>
    <xf numFmtId="0" fontId="15" fillId="37" borderId="77" xfId="1347" applyFont="1" applyFill="1" applyBorder="1" applyAlignment="1">
      <alignment horizontal="left" vertical="center"/>
    </xf>
    <xf numFmtId="0" fontId="15" fillId="37" borderId="57" xfId="1347" applyFont="1" applyFill="1" applyBorder="1" applyAlignment="1">
      <alignment horizontal="left" vertical="center"/>
    </xf>
    <xf numFmtId="14" fontId="180" fillId="37" borderId="77" xfId="1347" applyNumberFormat="1" applyFont="1" applyFill="1" applyBorder="1" applyAlignment="1">
      <alignment horizontal="left"/>
    </xf>
    <xf numFmtId="0" fontId="180" fillId="37" borderId="77" xfId="1347" applyFont="1" applyFill="1" applyBorder="1" applyAlignment="1">
      <alignment vertical="center"/>
    </xf>
    <xf numFmtId="10" fontId="190" fillId="37" borderId="78" xfId="1347" applyNumberFormat="1" applyFont="1" applyFill="1" applyBorder="1" applyAlignment="1">
      <alignment horizontal="center" vertical="center"/>
    </xf>
    <xf numFmtId="0" fontId="15" fillId="37" borderId="14" xfId="1347" applyFont="1" applyFill="1" applyBorder="1" applyAlignment="1">
      <alignment vertical="center"/>
    </xf>
    <xf numFmtId="14" fontId="183" fillId="37" borderId="0" xfId="1347" applyNumberFormat="1" applyFont="1" applyFill="1" applyAlignment="1">
      <alignment horizontal="center"/>
    </xf>
    <xf numFmtId="0" fontId="183" fillId="37" borderId="0" xfId="1347" applyFont="1" applyFill="1" applyAlignment="1">
      <alignment horizontal="center" vertical="center"/>
    </xf>
    <xf numFmtId="9" fontId="190" fillId="37" borderId="6" xfId="1347" applyNumberFormat="1" applyFont="1" applyFill="1" applyBorder="1" applyAlignment="1">
      <alignment horizontal="center" vertical="center"/>
    </xf>
    <xf numFmtId="0" fontId="15" fillId="37" borderId="87" xfId="1347" applyFont="1" applyFill="1" applyBorder="1" applyAlignment="1">
      <alignment horizontal="left" vertical="center" indent="1"/>
    </xf>
    <xf numFmtId="0" fontId="15" fillId="37" borderId="88" xfId="1347" applyFont="1" applyFill="1" applyBorder="1" applyAlignment="1">
      <alignment vertical="center"/>
    </xf>
    <xf numFmtId="0" fontId="15" fillId="37" borderId="0" xfId="1347" applyFont="1" applyFill="1" applyAlignment="1">
      <alignment horizontal="left" vertical="center" indent="1"/>
    </xf>
    <xf numFmtId="0" fontId="15" fillId="37" borderId="0" xfId="1347" applyFont="1" applyFill="1" applyAlignment="1">
      <alignment vertical="center"/>
    </xf>
    <xf numFmtId="5" fontId="180" fillId="37" borderId="0" xfId="1347" applyNumberFormat="1" applyFont="1" applyFill="1" applyAlignment="1">
      <alignment horizontal="center" vertical="center"/>
    </xf>
    <xf numFmtId="9" fontId="190" fillId="37" borderId="78" xfId="1347" applyNumberFormat="1" applyFont="1" applyFill="1" applyBorder="1" applyAlignment="1">
      <alignment horizontal="center" vertical="center"/>
    </xf>
    <xf numFmtId="0" fontId="15" fillId="37" borderId="96" xfId="1347" applyFont="1" applyFill="1" applyBorder="1" applyAlignment="1">
      <alignment vertical="center"/>
    </xf>
    <xf numFmtId="0" fontId="15" fillId="37" borderId="97" xfId="1347" applyFont="1" applyFill="1" applyBorder="1" applyAlignment="1">
      <alignment vertical="center"/>
    </xf>
    <xf numFmtId="9" fontId="190" fillId="37" borderId="0" xfId="1347" applyNumberFormat="1" applyFont="1" applyFill="1" applyAlignment="1">
      <alignment horizontal="center" vertical="center"/>
    </xf>
    <xf numFmtId="0" fontId="15" fillId="37" borderId="15" xfId="1347" applyFont="1" applyFill="1" applyBorder="1" applyAlignment="1">
      <alignment vertical="center"/>
    </xf>
    <xf numFmtId="0" fontId="180" fillId="37" borderId="0" xfId="1347" applyFont="1" applyFill="1" applyAlignment="1">
      <alignment vertical="center"/>
    </xf>
    <xf numFmtId="0" fontId="191" fillId="37" borderId="15" xfId="1347" applyFont="1" applyFill="1" applyBorder="1" applyAlignment="1">
      <alignment horizontal="left" vertical="center" indent="1"/>
    </xf>
    <xf numFmtId="0" fontId="15" fillId="37" borderId="15" xfId="1347" applyFont="1" applyFill="1" applyBorder="1" applyAlignment="1">
      <alignment horizontal="left" vertical="center" indent="1"/>
    </xf>
    <xf numFmtId="169" fontId="180" fillId="37" borderId="15" xfId="1347" applyNumberFormat="1" applyFont="1" applyFill="1" applyBorder="1"/>
    <xf numFmtId="169" fontId="23" fillId="37" borderId="0" xfId="1347" applyNumberFormat="1" applyFont="1" applyFill="1" applyAlignment="1">
      <alignment horizontal="center" vertical="center"/>
    </xf>
    <xf numFmtId="0" fontId="15" fillId="37" borderId="77" xfId="1347" applyFont="1" applyFill="1" applyBorder="1" applyAlignment="1">
      <alignment horizontal="left" vertical="center" indent="1"/>
    </xf>
    <xf numFmtId="0" fontId="15" fillId="37" borderId="92" xfId="1347" applyFont="1" applyFill="1" applyBorder="1" applyAlignment="1">
      <alignment vertical="center"/>
    </xf>
    <xf numFmtId="0" fontId="23" fillId="0" borderId="63" xfId="0" applyFont="1" applyBorder="1" applyAlignment="1">
      <alignment horizontal="right"/>
    </xf>
    <xf numFmtId="0" fontId="180" fillId="0" borderId="67" xfId="0" applyFont="1" applyBorder="1" applyAlignment="1">
      <alignment horizontal="center"/>
    </xf>
    <xf numFmtId="0" fontId="180" fillId="0" borderId="3" xfId="0" applyFont="1" applyBorder="1" applyAlignment="1">
      <alignment horizontal="center"/>
    </xf>
    <xf numFmtId="0" fontId="15" fillId="0" borderId="15" xfId="0" applyFont="1" applyBorder="1"/>
    <xf numFmtId="6" fontId="180" fillId="0" borderId="0" xfId="0" applyNumberFormat="1" applyFont="1" applyAlignment="1">
      <alignment horizontal="center"/>
    </xf>
    <xf numFmtId="6" fontId="180" fillId="0" borderId="6" xfId="0" applyNumberFormat="1" applyFont="1" applyBorder="1" applyAlignment="1">
      <alignment horizontal="center"/>
    </xf>
    <xf numFmtId="0" fontId="180" fillId="0" borderId="63" xfId="0" applyFont="1" applyBorder="1"/>
    <xf numFmtId="6" fontId="180" fillId="0" borderId="67" xfId="0" applyNumberFormat="1" applyFont="1" applyBorder="1"/>
    <xf numFmtId="6" fontId="180" fillId="0" borderId="3" xfId="0" applyNumberFormat="1" applyFont="1" applyBorder="1"/>
    <xf numFmtId="0" fontId="15" fillId="0" borderId="60" xfId="0" applyFont="1" applyBorder="1"/>
    <xf numFmtId="6" fontId="180" fillId="0" borderId="82" xfId="0" applyNumberFormat="1" applyFont="1" applyBorder="1" applyAlignment="1">
      <alignment horizontal="center"/>
    </xf>
    <xf numFmtId="6" fontId="180" fillId="0" borderId="74" xfId="0" applyNumberFormat="1" applyFont="1" applyBorder="1" applyAlignment="1">
      <alignment horizontal="center"/>
    </xf>
    <xf numFmtId="277" fontId="15" fillId="0" borderId="15" xfId="2" applyNumberFormat="1" applyFont="1" applyBorder="1"/>
    <xf numFmtId="6" fontId="15" fillId="0" borderId="0" xfId="2" applyNumberFormat="1" applyFont="1" applyAlignment="1">
      <alignment horizontal="center"/>
    </xf>
    <xf numFmtId="6" fontId="15" fillId="0" borderId="6" xfId="2" applyNumberFormat="1" applyFont="1" applyBorder="1" applyAlignment="1">
      <alignment horizontal="center"/>
    </xf>
    <xf numFmtId="278" fontId="15" fillId="0" borderId="60" xfId="2" applyNumberFormat="1" applyFont="1" applyBorder="1"/>
    <xf numFmtId="6" fontId="15" fillId="0" borderId="82" xfId="2" applyNumberFormat="1" applyFont="1" applyBorder="1" applyAlignment="1">
      <alignment horizontal="center"/>
    </xf>
    <xf numFmtId="6" fontId="15" fillId="0" borderId="74" xfId="2" applyNumberFormat="1" applyFont="1" applyBorder="1" applyAlignment="1">
      <alignment horizontal="center"/>
    </xf>
    <xf numFmtId="0" fontId="23" fillId="0" borderId="77" xfId="0" applyFont="1" applyBorder="1"/>
    <xf numFmtId="6" fontId="23" fillId="0" borderId="78" xfId="0" applyNumberFormat="1" applyFont="1" applyBorder="1" applyAlignment="1">
      <alignment horizontal="center"/>
    </xf>
    <xf numFmtId="0" fontId="23" fillId="0" borderId="15" xfId="0" applyFont="1" applyBorder="1"/>
    <xf numFmtId="6" fontId="23" fillId="0" borderId="0" xfId="0" applyNumberFormat="1" applyFont="1" applyAlignment="1">
      <alignment horizontal="center"/>
    </xf>
    <xf numFmtId="6" fontId="23" fillId="0" borderId="6" xfId="0" applyNumberFormat="1" applyFont="1" applyBorder="1" applyAlignment="1">
      <alignment horizontal="center"/>
    </xf>
    <xf numFmtId="0" fontId="15" fillId="0" borderId="63" xfId="0" applyFont="1" applyBorder="1"/>
    <xf numFmtId="0" fontId="180" fillId="9" borderId="0" xfId="0" applyFont="1" applyFill="1"/>
    <xf numFmtId="0" fontId="180" fillId="10" borderId="0" xfId="0" applyFont="1" applyFill="1"/>
    <xf numFmtId="0" fontId="180" fillId="7" borderId="0" xfId="0" applyFont="1" applyFill="1"/>
    <xf numFmtId="0" fontId="180" fillId="0" borderId="0" xfId="0" applyFont="1" applyAlignment="1">
      <alignment horizontal="center"/>
    </xf>
    <xf numFmtId="0" fontId="180" fillId="0" borderId="68" xfId="0" applyFont="1" applyBorder="1" applyAlignment="1">
      <alignment horizontal="center"/>
    </xf>
    <xf numFmtId="38" fontId="183" fillId="0" borderId="60" xfId="0" applyNumberFormat="1" applyFont="1" applyBorder="1"/>
    <xf numFmtId="5" fontId="183" fillId="0" borderId="8" xfId="0" applyNumberFormat="1" applyFont="1" applyBorder="1"/>
    <xf numFmtId="6" fontId="183" fillId="0" borderId="8" xfId="0" applyNumberFormat="1" applyFont="1" applyBorder="1"/>
    <xf numFmtId="0" fontId="180" fillId="0" borderId="93" xfId="0" applyFont="1" applyBorder="1"/>
    <xf numFmtId="6" fontId="180" fillId="0" borderId="104" xfId="0" applyNumberFormat="1" applyFont="1" applyBorder="1"/>
    <xf numFmtId="5" fontId="183" fillId="0" borderId="67" xfId="0" applyNumberFormat="1" applyFont="1" applyBorder="1"/>
    <xf numFmtId="5" fontId="183" fillId="0" borderId="14" xfId="0" applyNumberFormat="1" applyFont="1" applyBorder="1"/>
    <xf numFmtId="0" fontId="180" fillId="0" borderId="66" xfId="0" applyFont="1" applyBorder="1"/>
    <xf numFmtId="0" fontId="180" fillId="0" borderId="99" xfId="0" applyFont="1" applyBorder="1"/>
    <xf numFmtId="172" fontId="180" fillId="0" borderId="100" xfId="18" applyNumberFormat="1" applyFont="1" applyBorder="1"/>
    <xf numFmtId="0" fontId="180" fillId="0" borderId="64" xfId="0" applyFont="1" applyBorder="1"/>
    <xf numFmtId="6" fontId="180" fillId="0" borderId="68" xfId="0" applyNumberFormat="1" applyFont="1" applyBorder="1"/>
    <xf numFmtId="0" fontId="180" fillId="4" borderId="0" xfId="0" applyFont="1" applyFill="1"/>
    <xf numFmtId="5" fontId="180" fillId="0" borderId="71" xfId="0" applyNumberFormat="1" applyFont="1" applyBorder="1"/>
    <xf numFmtId="37" fontId="183" fillId="0" borderId="2" xfId="0" applyNumberFormat="1" applyFont="1" applyBorder="1"/>
    <xf numFmtId="0" fontId="183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80" fillId="0" borderId="67" xfId="0" applyFont="1" applyBorder="1"/>
    <xf numFmtId="38" fontId="183" fillId="0" borderId="67" xfId="0" applyNumberFormat="1" applyFont="1" applyBorder="1"/>
    <xf numFmtId="5" fontId="183" fillId="0" borderId="57" xfId="0" applyNumberFormat="1" applyFont="1" applyBorder="1"/>
    <xf numFmtId="6" fontId="183" fillId="0" borderId="14" xfId="0" applyNumberFormat="1" applyFont="1" applyBorder="1"/>
    <xf numFmtId="0" fontId="180" fillId="0" borderId="57" xfId="0" applyFont="1" applyBorder="1"/>
    <xf numFmtId="38" fontId="183" fillId="0" borderId="15" xfId="0" applyNumberFormat="1" applyFont="1" applyBorder="1"/>
    <xf numFmtId="6" fontId="180" fillId="0" borderId="95" xfId="0" applyNumberFormat="1" applyFont="1" applyBorder="1"/>
    <xf numFmtId="5" fontId="183" fillId="4" borderId="8" xfId="0" applyNumberFormat="1" applyFont="1" applyFill="1" applyBorder="1"/>
    <xf numFmtId="5" fontId="183" fillId="4" borderId="67" xfId="0" applyNumberFormat="1" applyFont="1" applyFill="1" applyBorder="1"/>
    <xf numFmtId="5" fontId="183" fillId="4" borderId="65" xfId="0" applyNumberFormat="1" applyFont="1" applyFill="1" applyBorder="1"/>
    <xf numFmtId="6" fontId="183" fillId="4" borderId="8" xfId="0" applyNumberFormat="1" applyFont="1" applyFill="1" applyBorder="1"/>
    <xf numFmtId="0" fontId="193" fillId="37" borderId="0" xfId="1347" applyFont="1" applyFill="1"/>
    <xf numFmtId="265" fontId="194" fillId="0" borderId="0" xfId="0" applyNumberFormat="1" applyFont="1" applyAlignment="1">
      <alignment horizontal="center"/>
    </xf>
    <xf numFmtId="0" fontId="178" fillId="0" borderId="57" xfId="0" applyFont="1" applyBorder="1"/>
    <xf numFmtId="0" fontId="179" fillId="0" borderId="97" xfId="0" applyFont="1" applyBorder="1" applyAlignment="1">
      <alignment horizontal="center" vertical="center"/>
    </xf>
    <xf numFmtId="0" fontId="179" fillId="0" borderId="0" xfId="0" applyFont="1" applyAlignment="1">
      <alignment horizontal="center" vertical="center"/>
    </xf>
    <xf numFmtId="0" fontId="179" fillId="38" borderId="67" xfId="0" applyFont="1" applyFill="1" applyBorder="1" applyAlignment="1">
      <alignment horizontal="center"/>
    </xf>
    <xf numFmtId="0" fontId="179" fillId="38" borderId="63" xfId="0" applyFont="1" applyFill="1" applyBorder="1" applyAlignment="1">
      <alignment horizontal="center"/>
    </xf>
    <xf numFmtId="0" fontId="179" fillId="38" borderId="3" xfId="0" applyFont="1" applyFill="1" applyBorder="1" applyAlignment="1">
      <alignment horizontal="center" wrapText="1"/>
    </xf>
    <xf numFmtId="177" fontId="194" fillId="0" borderId="69" xfId="0" applyNumberFormat="1" applyFont="1" applyBorder="1" applyAlignment="1">
      <alignment horizontal="left"/>
    </xf>
    <xf numFmtId="6" fontId="194" fillId="37" borderId="6" xfId="1347" applyNumberFormat="1" applyFont="1" applyFill="1" applyBorder="1" applyAlignment="1">
      <alignment horizontal="center"/>
    </xf>
    <xf numFmtId="6" fontId="194" fillId="37" borderId="78" xfId="1347" applyNumberFormat="1" applyFont="1" applyFill="1" applyBorder="1" applyAlignment="1">
      <alignment horizontal="center"/>
    </xf>
    <xf numFmtId="169" fontId="194" fillId="37" borderId="78" xfId="1347" applyNumberFormat="1" applyFont="1" applyFill="1" applyBorder="1" applyAlignment="1">
      <alignment horizontal="center" vertical="center"/>
    </xf>
    <xf numFmtId="0" fontId="23" fillId="37" borderId="98" xfId="1347" applyFont="1" applyFill="1" applyBorder="1" applyAlignment="1">
      <alignment horizontal="center" vertical="center"/>
    </xf>
    <xf numFmtId="0" fontId="194" fillId="37" borderId="6" xfId="1347" applyFont="1" applyFill="1" applyBorder="1" applyAlignment="1">
      <alignment horizontal="center" vertical="center"/>
    </xf>
    <xf numFmtId="0" fontId="183" fillId="37" borderId="6" xfId="1347" applyFont="1" applyFill="1" applyBorder="1"/>
    <xf numFmtId="38" fontId="194" fillId="37" borderId="6" xfId="1347" applyNumberFormat="1" applyFont="1" applyFill="1" applyBorder="1" applyAlignment="1">
      <alignment horizontal="center" vertical="center"/>
    </xf>
    <xf numFmtId="38" fontId="183" fillId="37" borderId="6" xfId="1347" applyNumberFormat="1" applyFont="1" applyFill="1" applyBorder="1" applyAlignment="1">
      <alignment horizontal="center"/>
    </xf>
    <xf numFmtId="8" fontId="194" fillId="37" borderId="6" xfId="1347" applyNumberFormat="1" applyFont="1" applyFill="1" applyBorder="1" applyAlignment="1">
      <alignment horizontal="center" vertical="center"/>
    </xf>
    <xf numFmtId="8" fontId="194" fillId="37" borderId="6" xfId="1347" applyNumberFormat="1" applyFont="1" applyFill="1" applyBorder="1" applyAlignment="1">
      <alignment horizontal="center"/>
    </xf>
    <xf numFmtId="8" fontId="183" fillId="37" borderId="6" xfId="1347" applyNumberFormat="1" applyFont="1" applyFill="1" applyBorder="1" applyAlignment="1">
      <alignment horizontal="center"/>
    </xf>
    <xf numFmtId="38" fontId="194" fillId="37" borderId="6" xfId="1347" applyNumberFormat="1" applyFont="1" applyFill="1" applyBorder="1" applyAlignment="1">
      <alignment horizontal="center"/>
    </xf>
    <xf numFmtId="169" fontId="194" fillId="37" borderId="6" xfId="1347" applyNumberFormat="1" applyFont="1" applyFill="1" applyBorder="1" applyAlignment="1">
      <alignment horizontal="center"/>
    </xf>
    <xf numFmtId="8" fontId="194" fillId="37" borderId="78" xfId="1347" applyNumberFormat="1" applyFont="1" applyFill="1" applyBorder="1" applyAlignment="1">
      <alignment horizontal="center" vertical="center"/>
    </xf>
    <xf numFmtId="0" fontId="23" fillId="9" borderId="94" xfId="1347" applyFont="1" applyFill="1" applyBorder="1" applyAlignment="1">
      <alignment horizontal="center"/>
    </xf>
    <xf numFmtId="0" fontId="23" fillId="9" borderId="95" xfId="1347" applyFont="1" applyFill="1" applyBorder="1" applyAlignment="1">
      <alignment horizontal="center"/>
    </xf>
    <xf numFmtId="175" fontId="183" fillId="0" borderId="67" xfId="0" applyNumberFormat="1" applyFont="1" applyBorder="1" applyAlignment="1">
      <alignment horizontal="center"/>
    </xf>
    <xf numFmtId="175" fontId="183" fillId="0" borderId="67" xfId="0" applyNumberFormat="1" applyFont="1" applyBorder="1"/>
    <xf numFmtId="0" fontId="183" fillId="0" borderId="0" xfId="0" applyFont="1"/>
    <xf numFmtId="0" fontId="183" fillId="0" borderId="15" xfId="0" applyFont="1" applyBorder="1" applyAlignment="1">
      <alignment horizontal="center"/>
    </xf>
    <xf numFmtId="0" fontId="180" fillId="9" borderId="101" xfId="0" applyFont="1" applyFill="1" applyBorder="1"/>
    <xf numFmtId="10" fontId="180" fillId="9" borderId="101" xfId="0" applyNumberFormat="1" applyFont="1" applyFill="1" applyBorder="1"/>
    <xf numFmtId="6" fontId="180" fillId="0" borderId="94" xfId="0" applyNumberFormat="1" applyFont="1" applyBorder="1"/>
    <xf numFmtId="0" fontId="179" fillId="0" borderId="93" xfId="0" applyFont="1" applyBorder="1" applyAlignment="1">
      <alignment horizontal="center" vertical="center" wrapText="1"/>
    </xf>
    <xf numFmtId="0" fontId="179" fillId="0" borderId="94" xfId="0" applyFont="1" applyBorder="1" applyAlignment="1">
      <alignment horizontal="center" vertical="center" wrapText="1"/>
    </xf>
    <xf numFmtId="0" fontId="179" fillId="0" borderId="95" xfId="0" applyFont="1" applyBorder="1" applyAlignment="1">
      <alignment horizontal="center" vertical="center" wrapText="1"/>
    </xf>
    <xf numFmtId="0" fontId="180" fillId="37" borderId="92" xfId="1347" applyFont="1" applyFill="1" applyBorder="1" applyAlignment="1">
      <alignment horizontal="left" vertical="center" indent="1"/>
    </xf>
    <xf numFmtId="0" fontId="181" fillId="0" borderId="92" xfId="0" applyFont="1" applyBorder="1" applyAlignment="1">
      <alignment horizontal="center"/>
    </xf>
    <xf numFmtId="14" fontId="23" fillId="9" borderId="93" xfId="0" applyNumberFormat="1" applyFont="1" applyFill="1" applyBorder="1" applyAlignment="1">
      <alignment horizontal="right" vertical="center"/>
    </xf>
    <xf numFmtId="5" fontId="183" fillId="0" borderId="0" xfId="0" applyNumberFormat="1" applyFont="1"/>
    <xf numFmtId="169" fontId="180" fillId="4" borderId="0" xfId="0" applyNumberFormat="1" applyFont="1" applyFill="1"/>
    <xf numFmtId="5" fontId="180" fillId="0" borderId="9" xfId="0" applyNumberFormat="1" applyFont="1" applyBorder="1"/>
    <xf numFmtId="0" fontId="179" fillId="38" borderId="100" xfId="0" applyFont="1" applyFill="1" applyBorder="1" applyAlignment="1">
      <alignment horizontal="center" wrapText="1"/>
    </xf>
    <xf numFmtId="0" fontId="196" fillId="40" borderId="0" xfId="0" applyFont="1" applyFill="1" applyAlignment="1">
      <alignment horizontal="center"/>
    </xf>
    <xf numFmtId="0" fontId="179" fillId="0" borderId="0" xfId="0" applyFont="1" applyAlignment="1">
      <alignment horizontal="center" wrapText="1"/>
    </xf>
    <xf numFmtId="169" fontId="178" fillId="0" borderId="0" xfId="0" applyNumberFormat="1" applyFont="1" applyAlignment="1">
      <alignment horizontal="center"/>
    </xf>
    <xf numFmtId="169" fontId="178" fillId="0" borderId="0" xfId="0" applyNumberFormat="1" applyFont="1"/>
    <xf numFmtId="0" fontId="15" fillId="0" borderId="93" xfId="0" applyFont="1" applyBorder="1" applyAlignment="1">
      <alignment wrapText="1"/>
    </xf>
    <xf numFmtId="288" fontId="194" fillId="0" borderId="95" xfId="0" applyNumberFormat="1" applyFont="1" applyBorder="1" applyAlignment="1">
      <alignment horizontal="center"/>
    </xf>
    <xf numFmtId="6" fontId="180" fillId="0" borderId="15" xfId="0" applyNumberFormat="1" applyFont="1" applyBorder="1"/>
    <xf numFmtId="6" fontId="183" fillId="0" borderId="67" xfId="0" applyNumberFormat="1" applyFont="1" applyBorder="1" applyAlignment="1">
      <alignment horizontal="center" vertical="center"/>
    </xf>
    <xf numFmtId="5" fontId="15" fillId="0" borderId="67" xfId="22" applyNumberFormat="1" applyFont="1" applyBorder="1" applyAlignment="1">
      <alignment horizontal="center" vertical="center"/>
    </xf>
    <xf numFmtId="37" fontId="15" fillId="0" borderId="61" xfId="22" applyNumberFormat="1" applyFont="1" applyBorder="1" applyAlignment="1">
      <alignment horizontal="center"/>
    </xf>
    <xf numFmtId="169" fontId="23" fillId="0" borderId="61" xfId="22" applyNumberFormat="1" applyFont="1" applyBorder="1" applyAlignment="1">
      <alignment horizontal="center"/>
    </xf>
    <xf numFmtId="170" fontId="194" fillId="9" borderId="59" xfId="0" applyNumberFormat="1" applyFont="1" applyFill="1" applyBorder="1"/>
    <xf numFmtId="170" fontId="194" fillId="9" borderId="101" xfId="0" applyNumberFormat="1" applyFont="1" applyFill="1" applyBorder="1"/>
    <xf numFmtId="0" fontId="190" fillId="0" borderId="0" xfId="0" applyFont="1"/>
    <xf numFmtId="0" fontId="194" fillId="0" borderId="0" xfId="0" applyFont="1"/>
    <xf numFmtId="0" fontId="195" fillId="0" borderId="0" xfId="0" applyFont="1"/>
    <xf numFmtId="0" fontId="195" fillId="0" borderId="102" xfId="0" applyFont="1" applyBorder="1" applyAlignment="1">
      <alignment horizontal="center"/>
    </xf>
    <xf numFmtId="0" fontId="195" fillId="0" borderId="102" xfId="0" applyFont="1" applyBorder="1"/>
    <xf numFmtId="169" fontId="190" fillId="0" borderId="0" xfId="0" applyNumberFormat="1" applyFont="1"/>
    <xf numFmtId="5" fontId="190" fillId="0" borderId="67" xfId="0" applyNumberFormat="1" applyFont="1" applyBorder="1"/>
    <xf numFmtId="6" fontId="190" fillId="0" borderId="0" xfId="0" applyNumberFormat="1" applyFont="1"/>
    <xf numFmtId="0" fontId="167" fillId="36" borderId="0" xfId="1347" applyFont="1" applyFill="1" applyAlignment="1">
      <alignment horizontal="center"/>
    </xf>
    <xf numFmtId="0" fontId="2" fillId="37" borderId="0" xfId="1347" applyFill="1" applyAlignment="1">
      <alignment horizontal="center"/>
    </xf>
    <xf numFmtId="0" fontId="2" fillId="37" borderId="0" xfId="1347" applyFill="1" applyAlignment="1">
      <alignment horizontal="center" vertical="center" wrapText="1"/>
    </xf>
    <xf numFmtId="7" fontId="180" fillId="37" borderId="0" xfId="1347" applyNumberFormat="1" applyFont="1" applyFill="1" applyAlignment="1">
      <alignment horizontal="center" vertical="center"/>
    </xf>
    <xf numFmtId="208" fontId="180" fillId="37" borderId="0" xfId="1347" applyNumberFormat="1" applyFont="1" applyFill="1" applyAlignment="1">
      <alignment horizontal="center" vertical="center"/>
    </xf>
    <xf numFmtId="0" fontId="172" fillId="37" borderId="0" xfId="1347" applyFont="1" applyFill="1"/>
    <xf numFmtId="172" fontId="0" fillId="37" borderId="0" xfId="1358" applyNumberFormat="1" applyFont="1" applyFill="1" applyBorder="1"/>
    <xf numFmtId="169" fontId="171" fillId="37" borderId="0" xfId="1358" applyNumberFormat="1" applyFont="1" applyFill="1" applyBorder="1" applyAlignment="1">
      <alignment horizontal="center"/>
    </xf>
    <xf numFmtId="169" fontId="2" fillId="37" borderId="0" xfId="1347" applyNumberFormat="1" applyFill="1" applyAlignment="1">
      <alignment horizontal="center"/>
    </xf>
    <xf numFmtId="0" fontId="173" fillId="37" borderId="0" xfId="1347" applyFont="1" applyFill="1"/>
    <xf numFmtId="6" fontId="2" fillId="37" borderId="0" xfId="1347" applyNumberFormat="1" applyFill="1"/>
    <xf numFmtId="6" fontId="174" fillId="37" borderId="0" xfId="1347" applyNumberFormat="1" applyFont="1" applyFill="1"/>
    <xf numFmtId="0" fontId="174" fillId="37" borderId="0" xfId="1347" applyFont="1" applyFill="1"/>
    <xf numFmtId="0" fontId="203" fillId="0" borderId="0" xfId="0" applyFont="1" applyAlignment="1">
      <alignment wrapText="1"/>
    </xf>
    <xf numFmtId="5" fontId="15" fillId="3" borderId="67" xfId="22" applyNumberFormat="1" applyFont="1" applyFill="1" applyBorder="1" applyAlignment="1">
      <alignment horizontal="center"/>
    </xf>
    <xf numFmtId="167" fontId="2" fillId="37" borderId="0" xfId="1360" applyFont="1" applyFill="1"/>
    <xf numFmtId="0" fontId="2" fillId="37" borderId="0" xfId="1347" applyFill="1" applyAlignment="1">
      <alignment horizontal="right"/>
    </xf>
    <xf numFmtId="295" fontId="2" fillId="37" borderId="0" xfId="1360" applyNumberFormat="1" applyFont="1" applyFill="1" applyAlignment="1">
      <alignment horizontal="right"/>
    </xf>
    <xf numFmtId="167" fontId="2" fillId="37" borderId="0" xfId="1360" applyFont="1" applyFill="1" applyAlignment="1">
      <alignment horizontal="right"/>
    </xf>
    <xf numFmtId="0" fontId="2" fillId="37" borderId="65" xfId="1347" applyFill="1" applyBorder="1"/>
    <xf numFmtId="295" fontId="2" fillId="37" borderId="65" xfId="1360" applyNumberFormat="1" applyFont="1" applyFill="1" applyBorder="1" applyAlignment="1">
      <alignment horizontal="right"/>
    </xf>
    <xf numFmtId="167" fontId="2" fillId="37" borderId="65" xfId="1360" applyFont="1" applyFill="1" applyBorder="1" applyAlignment="1">
      <alignment horizontal="right"/>
    </xf>
    <xf numFmtId="295" fontId="180" fillId="0" borderId="0" xfId="1360" applyNumberFormat="1" applyFont="1"/>
    <xf numFmtId="167" fontId="2" fillId="37" borderId="0" xfId="1347" applyNumberFormat="1" applyFill="1"/>
    <xf numFmtId="0" fontId="183" fillId="37" borderId="81" xfId="1347" applyFont="1" applyFill="1" applyBorder="1" applyAlignment="1">
      <alignment horizontal="center" vertical="center"/>
    </xf>
    <xf numFmtId="16" fontId="180" fillId="37" borderId="0" xfId="1347" applyNumberFormat="1" applyFont="1" applyFill="1"/>
    <xf numFmtId="0" fontId="204" fillId="37" borderId="0" xfId="1347" applyFont="1" applyFill="1"/>
    <xf numFmtId="1" fontId="0" fillId="37" borderId="0" xfId="1360" applyNumberFormat="1" applyFont="1" applyFill="1" applyBorder="1" applyAlignment="1">
      <alignment horizontal="center" vertical="center"/>
    </xf>
    <xf numFmtId="1" fontId="2" fillId="37" borderId="0" xfId="1360" applyNumberFormat="1" applyFont="1" applyFill="1" applyAlignment="1">
      <alignment horizontal="center" vertical="center"/>
    </xf>
    <xf numFmtId="169" fontId="0" fillId="37" borderId="0" xfId="18" applyNumberFormat="1" applyFont="1" applyFill="1" applyBorder="1" applyAlignment="1">
      <alignment horizontal="center" vertical="center"/>
    </xf>
    <xf numFmtId="169" fontId="2" fillId="37" borderId="0" xfId="18" applyNumberFormat="1" applyFont="1" applyFill="1" applyAlignment="1">
      <alignment horizontal="center" vertical="center"/>
    </xf>
    <xf numFmtId="169" fontId="2" fillId="37" borderId="82" xfId="18" applyNumberFormat="1" applyFont="1" applyFill="1" applyBorder="1" applyAlignment="1">
      <alignment horizontal="center" vertical="center"/>
    </xf>
    <xf numFmtId="1" fontId="2" fillId="37" borderId="82" xfId="1360" applyNumberFormat="1" applyFont="1" applyFill="1" applyBorder="1" applyAlignment="1">
      <alignment horizontal="center" vertical="center"/>
    </xf>
    <xf numFmtId="0" fontId="183" fillId="37" borderId="79" xfId="1347" applyFont="1" applyFill="1" applyBorder="1" applyAlignment="1">
      <alignment vertical="center"/>
    </xf>
    <xf numFmtId="0" fontId="102" fillId="0" borderId="0" xfId="0" applyFont="1"/>
    <xf numFmtId="0" fontId="205" fillId="0" borderId="0" xfId="0" applyFont="1"/>
    <xf numFmtId="296" fontId="180" fillId="0" borderId="0" xfId="0" applyNumberFormat="1" applyFont="1"/>
    <xf numFmtId="0" fontId="181" fillId="8" borderId="97" xfId="0" applyFont="1" applyFill="1" applyBorder="1" applyAlignment="1">
      <alignment horizontal="center"/>
    </xf>
    <xf numFmtId="0" fontId="181" fillId="8" borderId="98" xfId="0" applyFont="1" applyFill="1" applyBorder="1" applyAlignment="1">
      <alignment horizontal="center"/>
    </xf>
    <xf numFmtId="0" fontId="183" fillId="30" borderId="79" xfId="0" applyFont="1" applyFill="1" applyBorder="1"/>
    <xf numFmtId="169" fontId="183" fillId="30" borderId="80" xfId="0" applyNumberFormat="1" applyFont="1" applyFill="1" applyBorder="1" applyAlignment="1">
      <alignment horizontal="center"/>
    </xf>
    <xf numFmtId="168" fontId="183" fillId="30" borderId="80" xfId="0" applyNumberFormat="1" applyFont="1" applyFill="1" applyBorder="1" applyAlignment="1">
      <alignment horizontal="center"/>
    </xf>
    <xf numFmtId="0" fontId="179" fillId="0" borderId="93" xfId="0" applyFont="1" applyBorder="1" applyAlignment="1">
      <alignment vertical="center"/>
    </xf>
    <xf numFmtId="0" fontId="179" fillId="0" borderId="105" xfId="0" applyFont="1" applyBorder="1" applyAlignment="1">
      <alignment vertical="center"/>
    </xf>
    <xf numFmtId="0" fontId="179" fillId="0" borderId="94" xfId="0" applyFont="1" applyBorder="1" applyAlignment="1">
      <alignment horizontal="center" wrapText="1"/>
    </xf>
    <xf numFmtId="0" fontId="179" fillId="0" borderId="95" xfId="0" applyFont="1" applyBorder="1" applyAlignment="1">
      <alignment horizontal="center"/>
    </xf>
    <xf numFmtId="0" fontId="178" fillId="0" borderId="15" xfId="0" applyFont="1" applyBorder="1"/>
    <xf numFmtId="0" fontId="178" fillId="0" borderId="6" xfId="0" applyFont="1" applyBorder="1"/>
    <xf numFmtId="3" fontId="189" fillId="0" borderId="0" xfId="0" applyNumberFormat="1" applyFont="1" applyAlignment="1">
      <alignment horizontal="center" vertical="center" wrapText="1"/>
    </xf>
    <xf numFmtId="291" fontId="178" fillId="0" borderId="0" xfId="0" applyNumberFormat="1" applyFont="1" applyAlignment="1">
      <alignment horizontal="center" vertical="center" wrapText="1"/>
    </xf>
    <xf numFmtId="14" fontId="178" fillId="0" borderId="0" xfId="0" applyNumberFormat="1" applyFont="1" applyAlignment="1">
      <alignment horizontal="center" vertical="center"/>
    </xf>
    <xf numFmtId="14" fontId="178" fillId="0" borderId="0" xfId="0" applyNumberFormat="1" applyFont="1" applyAlignment="1">
      <alignment vertical="center"/>
    </xf>
    <xf numFmtId="6" fontId="178" fillId="0" borderId="0" xfId="0" applyNumberFormat="1" applyFont="1" applyAlignment="1">
      <alignment horizontal="center" vertical="center"/>
    </xf>
    <xf numFmtId="0" fontId="178" fillId="0" borderId="0" xfId="0" applyFont="1" applyAlignment="1">
      <alignment horizontal="center" vertical="center"/>
    </xf>
    <xf numFmtId="0" fontId="179" fillId="0" borderId="109" xfId="0" applyFont="1" applyBorder="1" applyAlignment="1">
      <alignment horizontal="center" vertical="center" wrapText="1"/>
    </xf>
    <xf numFmtId="10" fontId="198" fillId="4" borderId="92" xfId="0" applyNumberFormat="1" applyFont="1" applyFill="1" applyBorder="1" applyAlignment="1">
      <alignment horizontal="center" vertical="center"/>
    </xf>
    <xf numFmtId="0" fontId="179" fillId="11" borderId="93" xfId="0" applyFont="1" applyFill="1" applyBorder="1" applyAlignment="1">
      <alignment horizontal="center" vertical="center" wrapText="1"/>
    </xf>
    <xf numFmtId="0" fontId="179" fillId="11" borderId="94" xfId="0" applyFont="1" applyFill="1" applyBorder="1" applyAlignment="1">
      <alignment horizontal="center" vertical="center" wrapText="1"/>
    </xf>
    <xf numFmtId="0" fontId="179" fillId="11" borderId="94" xfId="0" applyFont="1" applyFill="1" applyBorder="1" applyAlignment="1">
      <alignment horizontal="center" vertical="center"/>
    </xf>
    <xf numFmtId="0" fontId="179" fillId="11" borderId="104" xfId="0" applyFont="1" applyFill="1" applyBorder="1" applyAlignment="1">
      <alignment horizontal="center" vertical="center" wrapText="1"/>
    </xf>
    <xf numFmtId="0" fontId="179" fillId="11" borderId="106" xfId="0" applyFont="1" applyFill="1" applyBorder="1" applyAlignment="1">
      <alignment horizontal="center" vertical="center"/>
    </xf>
    <xf numFmtId="0" fontId="179" fillId="11" borderId="104" xfId="0" applyFont="1" applyFill="1" applyBorder="1" applyAlignment="1">
      <alignment horizontal="center" vertical="center"/>
    </xf>
    <xf numFmtId="0" fontId="179" fillId="11" borderId="95" xfId="0" applyFont="1" applyFill="1" applyBorder="1" applyAlignment="1">
      <alignment horizontal="center" vertical="center" wrapText="1"/>
    </xf>
    <xf numFmtId="0" fontId="185" fillId="0" borderId="0" xfId="0" applyFont="1"/>
    <xf numFmtId="8" fontId="185" fillId="0" borderId="0" xfId="0" applyNumberFormat="1" applyFont="1"/>
    <xf numFmtId="6" fontId="185" fillId="0" borderId="0" xfId="0" applyNumberFormat="1" applyFont="1"/>
    <xf numFmtId="180" fontId="181" fillId="0" borderId="0" xfId="22" applyNumberFormat="1" applyFont="1" applyFill="1" applyBorder="1" applyAlignment="1">
      <alignment horizontal="center" vertical="center"/>
    </xf>
    <xf numFmtId="168" fontId="181" fillId="0" borderId="0" xfId="2" applyNumberFormat="1" applyFont="1" applyAlignment="1">
      <alignment horizontal="center"/>
    </xf>
    <xf numFmtId="9" fontId="181" fillId="0" borderId="0" xfId="1" applyFont="1" applyFill="1" applyBorder="1" applyAlignment="1">
      <alignment horizontal="center" vertical="center"/>
    </xf>
    <xf numFmtId="167" fontId="181" fillId="0" borderId="0" xfId="1360" applyFont="1" applyAlignment="1">
      <alignment horizontal="center"/>
    </xf>
    <xf numFmtId="164" fontId="185" fillId="0" borderId="0" xfId="0" applyNumberFormat="1" applyFont="1"/>
    <xf numFmtId="167" fontId="185" fillId="0" borderId="0" xfId="1360" applyFont="1"/>
    <xf numFmtId="165" fontId="185" fillId="0" borderId="0" xfId="0" applyNumberFormat="1" applyFont="1"/>
    <xf numFmtId="295" fontId="185" fillId="0" borderId="0" xfId="1360" applyNumberFormat="1" applyFont="1"/>
    <xf numFmtId="181" fontId="15" fillId="0" borderId="63" xfId="0" applyNumberFormat="1" applyFont="1" applyBorder="1" applyAlignment="1">
      <alignment horizontal="left"/>
    </xf>
    <xf numFmtId="38" fontId="194" fillId="0" borderId="67" xfId="22" applyNumberFormat="1" applyFont="1" applyBorder="1" applyAlignment="1">
      <alignment horizontal="center"/>
    </xf>
    <xf numFmtId="38" fontId="15" fillId="0" borderId="67" xfId="22" applyNumberFormat="1" applyFont="1" applyBorder="1" applyAlignment="1">
      <alignment horizontal="center"/>
    </xf>
    <xf numFmtId="0" fontId="15" fillId="4" borderId="91" xfId="0" applyFont="1" applyFill="1" applyBorder="1"/>
    <xf numFmtId="0" fontId="181" fillId="8" borderId="15" xfId="0" applyFont="1" applyFill="1" applyBorder="1"/>
    <xf numFmtId="295" fontId="206" fillId="0" borderId="0" xfId="1360" applyNumberFormat="1" applyFont="1" applyAlignment="1">
      <alignment horizontal="left" indent="2"/>
    </xf>
    <xf numFmtId="9" fontId="185" fillId="0" borderId="0" xfId="1" applyFont="1"/>
    <xf numFmtId="167" fontId="185" fillId="0" borderId="0" xfId="0" applyNumberFormat="1" applyFont="1"/>
    <xf numFmtId="295" fontId="185" fillId="0" borderId="0" xfId="1360" applyNumberFormat="1" applyFont="1" applyBorder="1"/>
    <xf numFmtId="16" fontId="185" fillId="0" borderId="0" xfId="0" applyNumberFormat="1" applyFont="1"/>
    <xf numFmtId="0" fontId="181" fillId="8" borderId="79" xfId="0" applyFont="1" applyFill="1" applyBorder="1" applyAlignment="1">
      <alignment horizontal="left"/>
    </xf>
    <xf numFmtId="0" fontId="181" fillId="8" borderId="80" xfId="0" applyFont="1" applyFill="1" applyBorder="1" applyAlignment="1">
      <alignment horizontal="center"/>
    </xf>
    <xf numFmtId="0" fontId="181" fillId="8" borderId="81" xfId="0" applyFont="1" applyFill="1" applyBorder="1" applyAlignment="1">
      <alignment horizontal="center"/>
    </xf>
    <xf numFmtId="0" fontId="15" fillId="11" borderId="63" xfId="0" applyFont="1" applyFill="1" applyBorder="1"/>
    <xf numFmtId="5" fontId="15" fillId="11" borderId="67" xfId="22" applyNumberFormat="1" applyFont="1" applyFill="1" applyBorder="1" applyAlignment="1">
      <alignment horizontal="center"/>
    </xf>
    <xf numFmtId="5" fontId="23" fillId="3" borderId="90" xfId="22" applyNumberFormat="1" applyFont="1" applyFill="1" applyBorder="1" applyAlignment="1">
      <alignment horizontal="left"/>
    </xf>
    <xf numFmtId="0" fontId="183" fillId="0" borderId="63" xfId="0" applyFont="1" applyBorder="1" applyAlignment="1">
      <alignment horizontal="left"/>
    </xf>
    <xf numFmtId="5" fontId="183" fillId="0" borderId="3" xfId="0" applyNumberFormat="1" applyFont="1" applyBorder="1" applyAlignment="1">
      <alignment horizontal="center"/>
    </xf>
    <xf numFmtId="169" fontId="183" fillId="30" borderId="81" xfId="0" applyNumberFormat="1" applyFont="1" applyFill="1" applyBorder="1" applyAlignment="1">
      <alignment horizontal="center"/>
    </xf>
    <xf numFmtId="0" fontId="181" fillId="8" borderId="77" xfId="2" applyFont="1" applyFill="1" applyBorder="1"/>
    <xf numFmtId="168" fontId="15" fillId="11" borderId="64" xfId="22" applyNumberFormat="1" applyFont="1" applyFill="1" applyBorder="1" applyAlignment="1">
      <alignment horizontal="center"/>
    </xf>
    <xf numFmtId="168" fontId="23" fillId="3" borderId="87" xfId="22" applyNumberFormat="1" applyFont="1" applyFill="1" applyBorder="1" applyAlignment="1">
      <alignment horizontal="center"/>
    </xf>
    <xf numFmtId="0" fontId="181" fillId="8" borderId="55" xfId="0" applyFont="1" applyFill="1" applyBorder="1" applyAlignment="1">
      <alignment horizontal="center"/>
    </xf>
    <xf numFmtId="5" fontId="15" fillId="11" borderId="103" xfId="22" applyNumberFormat="1" applyFont="1" applyFill="1" applyBorder="1" applyAlignment="1">
      <alignment horizontal="center"/>
    </xf>
    <xf numFmtId="178" fontId="181" fillId="32" borderId="80" xfId="0" applyNumberFormat="1" applyFont="1" applyFill="1" applyBorder="1"/>
    <xf numFmtId="0" fontId="181" fillId="32" borderId="81" xfId="0" applyFont="1" applyFill="1" applyBorder="1"/>
    <xf numFmtId="0" fontId="183" fillId="0" borderId="90" xfId="0" applyFont="1" applyBorder="1" applyAlignment="1">
      <alignment horizontal="left"/>
    </xf>
    <xf numFmtId="5" fontId="183" fillId="0" borderId="59" xfId="0" applyNumberFormat="1" applyFont="1" applyBorder="1" applyAlignment="1">
      <alignment horizontal="center"/>
    </xf>
    <xf numFmtId="5" fontId="183" fillId="0" borderId="87" xfId="0" applyNumberFormat="1" applyFont="1" applyBorder="1" applyAlignment="1">
      <alignment horizontal="center"/>
    </xf>
    <xf numFmtId="5" fontId="15" fillId="11" borderId="100" xfId="22" applyNumberFormat="1" applyFont="1" applyFill="1" applyBorder="1" applyAlignment="1">
      <alignment horizontal="center"/>
    </xf>
    <xf numFmtId="0" fontId="181" fillId="8" borderId="103" xfId="0" applyFont="1" applyFill="1" applyBorder="1" applyAlignment="1">
      <alignment horizontal="center"/>
    </xf>
    <xf numFmtId="5" fontId="183" fillId="0" borderId="61" xfId="0" applyNumberFormat="1" applyFont="1" applyBorder="1" applyAlignment="1">
      <alignment horizontal="center"/>
    </xf>
    <xf numFmtId="289" fontId="182" fillId="0" borderId="67" xfId="0" applyNumberFormat="1" applyFont="1" applyBorder="1" applyAlignment="1">
      <alignment horizontal="center"/>
    </xf>
    <xf numFmtId="5" fontId="15" fillId="0" borderId="67" xfId="22" applyNumberFormat="1" applyFont="1" applyBorder="1" applyAlignment="1">
      <alignment horizontal="center"/>
    </xf>
    <xf numFmtId="0" fontId="181" fillId="8" borderId="79" xfId="0" applyFont="1" applyFill="1" applyBorder="1"/>
    <xf numFmtId="0" fontId="181" fillId="8" borderId="80" xfId="0" applyFont="1" applyFill="1" applyBorder="1" applyAlignment="1">
      <alignment horizontal="center" wrapText="1"/>
    </xf>
    <xf numFmtId="0" fontId="181" fillId="8" borderId="81" xfId="0" applyFont="1" applyFill="1" applyBorder="1" applyAlignment="1">
      <alignment horizontal="center" wrapText="1"/>
    </xf>
    <xf numFmtId="167" fontId="178" fillId="0" borderId="0" xfId="1360" applyFont="1" applyBorder="1" applyAlignment="1">
      <alignment horizontal="center" vertical="center" wrapText="1"/>
    </xf>
    <xf numFmtId="295" fontId="178" fillId="0" borderId="0" xfId="1360" applyNumberFormat="1" applyFont="1" applyBorder="1" applyAlignment="1">
      <alignment horizontal="center" vertical="center" wrapText="1"/>
    </xf>
    <xf numFmtId="167" fontId="178" fillId="0" borderId="0" xfId="1360" applyFont="1" applyBorder="1" applyAlignment="1">
      <alignment horizontal="center" vertical="center"/>
    </xf>
    <xf numFmtId="0" fontId="175" fillId="37" borderId="0" xfId="1347" applyFont="1" applyFill="1"/>
    <xf numFmtId="0" fontId="176" fillId="37" borderId="0" xfId="1347" applyFont="1" applyFill="1"/>
    <xf numFmtId="0" fontId="177" fillId="37" borderId="0" xfId="1347" applyFont="1" applyFill="1"/>
    <xf numFmtId="6" fontId="175" fillId="37" borderId="0" xfId="1347" applyNumberFormat="1" applyFont="1" applyFill="1"/>
    <xf numFmtId="171" fontId="180" fillId="0" borderId="0" xfId="0" applyNumberFormat="1" applyFont="1"/>
    <xf numFmtId="283" fontId="178" fillId="0" borderId="0" xfId="0" applyNumberFormat="1" applyFont="1"/>
    <xf numFmtId="0" fontId="181" fillId="36" borderId="0" xfId="1347" applyFont="1" applyFill="1"/>
    <xf numFmtId="0" fontId="180" fillId="36" borderId="0" xfId="1347" applyFont="1" applyFill="1"/>
    <xf numFmtId="6" fontId="180" fillId="37" borderId="0" xfId="1347" applyNumberFormat="1" applyFont="1" applyFill="1" applyAlignment="1">
      <alignment horizontal="center"/>
    </xf>
    <xf numFmtId="8" fontId="180" fillId="37" borderId="0" xfId="1347" applyNumberFormat="1" applyFont="1" applyFill="1" applyAlignment="1">
      <alignment horizontal="center"/>
    </xf>
    <xf numFmtId="9" fontId="180" fillId="37" borderId="0" xfId="1347" applyNumberFormat="1" applyFont="1" applyFill="1" applyAlignment="1">
      <alignment horizontal="center"/>
    </xf>
    <xf numFmtId="10" fontId="180" fillId="37" borderId="0" xfId="1347" applyNumberFormat="1" applyFont="1" applyFill="1" applyAlignment="1">
      <alignment horizontal="center"/>
    </xf>
    <xf numFmtId="0" fontId="180" fillId="37" borderId="0" xfId="1347" applyFont="1" applyFill="1" applyAlignment="1">
      <alignment horizontal="center"/>
    </xf>
    <xf numFmtId="0" fontId="167" fillId="37" borderId="0" xfId="1347" applyFont="1" applyFill="1" applyAlignment="1">
      <alignment horizontal="center"/>
    </xf>
    <xf numFmtId="0" fontId="181" fillId="36" borderId="0" xfId="1347" applyFont="1" applyFill="1" applyAlignment="1">
      <alignment horizontal="center"/>
    </xf>
    <xf numFmtId="0" fontId="207" fillId="37" borderId="0" xfId="1347" applyFont="1" applyFill="1"/>
    <xf numFmtId="6" fontId="180" fillId="37" borderId="0" xfId="1347" applyNumberFormat="1" applyFont="1" applyFill="1"/>
    <xf numFmtId="0" fontId="208" fillId="37" borderId="0" xfId="1347" applyFont="1" applyFill="1"/>
    <xf numFmtId="0" fontId="167" fillId="36" borderId="0" xfId="1347" applyFont="1" applyFill="1" applyAlignment="1">
      <alignment horizontal="left"/>
    </xf>
    <xf numFmtId="0" fontId="2" fillId="3" borderId="0" xfId="1347" applyFill="1" applyAlignment="1">
      <alignment horizontal="center"/>
    </xf>
    <xf numFmtId="0" fontId="167" fillId="36" borderId="0" xfId="1347" applyFont="1" applyFill="1" applyAlignment="1">
      <alignment horizontal="center"/>
    </xf>
    <xf numFmtId="0" fontId="181" fillId="36" borderId="0" xfId="1347" applyFont="1" applyFill="1" applyAlignment="1">
      <alignment horizontal="center"/>
    </xf>
    <xf numFmtId="0" fontId="181" fillId="36" borderId="0" xfId="1347" applyFont="1" applyFill="1" applyAlignment="1">
      <alignment horizontal="left"/>
    </xf>
    <xf numFmtId="0" fontId="183" fillId="37" borderId="0" xfId="1347" applyFont="1" applyFill="1" applyAlignment="1">
      <alignment horizontal="center"/>
    </xf>
    <xf numFmtId="0" fontId="23" fillId="37" borderId="79" xfId="1347" applyFont="1" applyFill="1" applyBorder="1" applyAlignment="1">
      <alignment horizontal="center" vertical="center"/>
    </xf>
    <xf numFmtId="0" fontId="23" fillId="37" borderId="80" xfId="1347" applyFont="1" applyFill="1" applyBorder="1" applyAlignment="1">
      <alignment horizontal="center" vertical="center"/>
    </xf>
    <xf numFmtId="0" fontId="23" fillId="37" borderId="81" xfId="1347" applyFont="1" applyFill="1" applyBorder="1" applyAlignment="1">
      <alignment horizontal="center" vertical="center"/>
    </xf>
    <xf numFmtId="0" fontId="183" fillId="37" borderId="83" xfId="1347" applyFont="1" applyFill="1" applyBorder="1" applyAlignment="1">
      <alignment horizontal="center"/>
    </xf>
    <xf numFmtId="0" fontId="183" fillId="37" borderId="84" xfId="1347" applyFont="1" applyFill="1" applyBorder="1" applyAlignment="1">
      <alignment horizontal="center"/>
    </xf>
    <xf numFmtId="0" fontId="183" fillId="37" borderId="79" xfId="1347" applyFont="1" applyFill="1" applyBorder="1" applyAlignment="1">
      <alignment horizontal="center" vertical="center"/>
    </xf>
    <xf numFmtId="0" fontId="183" fillId="37" borderId="81" xfId="1347" applyFont="1" applyFill="1" applyBorder="1" applyAlignment="1">
      <alignment horizontal="center" vertical="center"/>
    </xf>
    <xf numFmtId="9" fontId="178" fillId="0" borderId="108" xfId="0" applyNumberFormat="1" applyFont="1" applyBorder="1" applyAlignment="1">
      <alignment horizontal="center" vertical="center"/>
    </xf>
    <xf numFmtId="9" fontId="178" fillId="0" borderId="3" xfId="0" applyNumberFormat="1" applyFont="1" applyBorder="1" applyAlignment="1">
      <alignment horizontal="center" vertical="center"/>
    </xf>
    <xf numFmtId="169" fontId="178" fillId="0" borderId="67" xfId="0" applyNumberFormat="1" applyFont="1" applyBorder="1" applyAlignment="1">
      <alignment horizontal="center" vertical="center"/>
    </xf>
    <xf numFmtId="3" fontId="200" fillId="0" borderId="110" xfId="0" applyNumberFormat="1" applyFont="1" applyBorder="1" applyAlignment="1">
      <alignment horizontal="center" vertical="center"/>
    </xf>
    <xf numFmtId="3" fontId="200" fillId="0" borderId="67" xfId="0" applyNumberFormat="1" applyFont="1" applyBorder="1" applyAlignment="1">
      <alignment horizontal="center" vertical="center"/>
    </xf>
    <xf numFmtId="3" fontId="189" fillId="0" borderId="110" xfId="0" applyNumberFormat="1" applyFont="1" applyBorder="1" applyAlignment="1">
      <alignment horizontal="center" vertical="center" wrapText="1"/>
    </xf>
    <xf numFmtId="3" fontId="189" fillId="0" borderId="67" xfId="0" applyNumberFormat="1" applyFont="1" applyBorder="1" applyAlignment="1">
      <alignment horizontal="center" vertical="center" wrapText="1"/>
    </xf>
    <xf numFmtId="182" fontId="178" fillId="0" borderId="110" xfId="0" applyNumberFormat="1" applyFont="1" applyBorder="1" applyAlignment="1">
      <alignment horizontal="center" vertical="center"/>
    </xf>
    <xf numFmtId="182" fontId="178" fillId="0" borderId="67" xfId="0" applyNumberFormat="1" applyFont="1" applyBorder="1" applyAlignment="1">
      <alignment horizontal="center" vertical="center"/>
    </xf>
    <xf numFmtId="285" fontId="178" fillId="0" borderId="110" xfId="0" applyNumberFormat="1" applyFont="1" applyBorder="1" applyAlignment="1">
      <alignment horizontal="center" vertical="center"/>
    </xf>
    <xf numFmtId="285" fontId="178" fillId="0" borderId="67" xfId="0" applyNumberFormat="1" applyFont="1" applyBorder="1" applyAlignment="1">
      <alignment horizontal="center" vertical="center"/>
    </xf>
    <xf numFmtId="279" fontId="178" fillId="0" borderId="110" xfId="0" applyNumberFormat="1" applyFont="1" applyBorder="1" applyAlignment="1">
      <alignment horizontal="center" vertical="center"/>
    </xf>
    <xf numFmtId="279" fontId="178" fillId="0" borderId="67" xfId="0" applyNumberFormat="1" applyFont="1" applyBorder="1" applyAlignment="1">
      <alignment horizontal="center" vertical="center"/>
    </xf>
    <xf numFmtId="6" fontId="178" fillId="0" borderId="110" xfId="0" applyNumberFormat="1" applyFont="1" applyBorder="1" applyAlignment="1">
      <alignment horizontal="center" vertical="center"/>
    </xf>
    <xf numFmtId="6" fontId="178" fillId="0" borderId="67" xfId="0" applyNumberFormat="1" applyFont="1" applyBorder="1" applyAlignment="1">
      <alignment horizontal="center" vertical="center"/>
    </xf>
    <xf numFmtId="5" fontId="178" fillId="0" borderId="110" xfId="0" applyNumberFormat="1" applyFont="1" applyBorder="1" applyAlignment="1">
      <alignment horizontal="center" vertical="center"/>
    </xf>
    <xf numFmtId="5" fontId="178" fillId="0" borderId="67" xfId="0" applyNumberFormat="1" applyFont="1" applyBorder="1" applyAlignment="1">
      <alignment horizontal="center" vertical="center"/>
    </xf>
    <xf numFmtId="6" fontId="199" fillId="0" borderId="110" xfId="0" applyNumberFormat="1" applyFont="1" applyBorder="1" applyAlignment="1">
      <alignment horizontal="center" vertical="center"/>
    </xf>
    <xf numFmtId="6" fontId="199" fillId="0" borderId="67" xfId="0" applyNumberFormat="1" applyFont="1" applyBorder="1" applyAlignment="1">
      <alignment horizontal="center" vertical="center"/>
    </xf>
    <xf numFmtId="3" fontId="200" fillId="0" borderId="110" xfId="0" applyNumberFormat="1" applyFont="1" applyBorder="1" applyAlignment="1">
      <alignment horizontal="center" vertical="center" wrapText="1"/>
    </xf>
    <xf numFmtId="3" fontId="200" fillId="0" borderId="67" xfId="0" applyNumberFormat="1" applyFont="1" applyBorder="1" applyAlignment="1">
      <alignment horizontal="center" vertical="center" wrapText="1"/>
    </xf>
    <xf numFmtId="286" fontId="178" fillId="0" borderId="110" xfId="0" applyNumberFormat="1" applyFont="1" applyBorder="1" applyAlignment="1">
      <alignment horizontal="center" vertical="center"/>
    </xf>
    <xf numFmtId="286" fontId="178" fillId="0" borderId="67" xfId="0" applyNumberFormat="1" applyFont="1" applyBorder="1" applyAlignment="1">
      <alignment horizontal="center" vertical="center"/>
    </xf>
    <xf numFmtId="0" fontId="196" fillId="40" borderId="57" xfId="0" applyFont="1" applyFill="1" applyBorder="1" applyAlignment="1">
      <alignment horizontal="center"/>
    </xf>
    <xf numFmtId="0" fontId="196" fillId="40" borderId="0" xfId="0" applyFont="1" applyFill="1" applyAlignment="1">
      <alignment horizontal="center"/>
    </xf>
    <xf numFmtId="0" fontId="196" fillId="39" borderId="79" xfId="0" applyFont="1" applyFill="1" applyBorder="1" applyAlignment="1">
      <alignment horizontal="center" vertical="center"/>
    </xf>
    <xf numFmtId="0" fontId="196" fillId="39" borderId="80" xfId="0" applyFont="1" applyFill="1" applyBorder="1" applyAlignment="1">
      <alignment horizontal="center" vertical="center"/>
    </xf>
    <xf numFmtId="0" fontId="196" fillId="39" borderId="81" xfId="0" applyFont="1" applyFill="1" applyBorder="1" applyAlignment="1">
      <alignment horizontal="center" vertical="center"/>
    </xf>
    <xf numFmtId="0" fontId="197" fillId="4" borderId="96" xfId="0" applyFont="1" applyFill="1" applyBorder="1" applyAlignment="1">
      <alignment horizontal="center" vertical="center"/>
    </xf>
    <xf numFmtId="0" fontId="197" fillId="4" borderId="97" xfId="0" applyFont="1" applyFill="1" applyBorder="1" applyAlignment="1">
      <alignment horizontal="center" vertical="center"/>
    </xf>
    <xf numFmtId="0" fontId="197" fillId="4" borderId="98" xfId="0" applyFont="1" applyFill="1" applyBorder="1" applyAlignment="1">
      <alignment horizontal="center" vertical="center"/>
    </xf>
    <xf numFmtId="0" fontId="197" fillId="4" borderId="77" xfId="0" applyFont="1" applyFill="1" applyBorder="1" applyAlignment="1">
      <alignment horizontal="center" vertical="center"/>
    </xf>
    <xf numFmtId="0" fontId="197" fillId="4" borderId="92" xfId="0" applyFont="1" applyFill="1" applyBorder="1" applyAlignment="1">
      <alignment horizontal="center" vertical="center"/>
    </xf>
    <xf numFmtId="0" fontId="197" fillId="4" borderId="78" xfId="0" applyFont="1" applyFill="1" applyBorder="1" applyAlignment="1">
      <alignment horizontal="center" vertical="center"/>
    </xf>
    <xf numFmtId="0" fontId="189" fillId="0" borderId="67" xfId="0" applyFont="1" applyBorder="1" applyAlignment="1">
      <alignment horizontal="center" vertical="center" wrapText="1"/>
    </xf>
    <xf numFmtId="292" fontId="178" fillId="0" borderId="67" xfId="0" applyNumberFormat="1" applyFont="1" applyBorder="1" applyAlignment="1">
      <alignment horizontal="center" vertical="center" wrapText="1"/>
    </xf>
    <xf numFmtId="3" fontId="200" fillId="0" borderId="89" xfId="0" applyNumberFormat="1" applyFont="1" applyBorder="1" applyAlignment="1">
      <alignment horizontal="center" vertical="center" wrapText="1"/>
    </xf>
    <xf numFmtId="3" fontId="200" fillId="0" borderId="63" xfId="0" applyNumberFormat="1" applyFont="1" applyBorder="1" applyAlignment="1">
      <alignment horizontal="center" vertical="center" wrapText="1"/>
    </xf>
    <xf numFmtId="3" fontId="200" fillId="0" borderId="63" xfId="0" applyNumberFormat="1" applyFont="1" applyBorder="1" applyAlignment="1">
      <alignment horizontal="center" vertical="center"/>
    </xf>
    <xf numFmtId="9" fontId="178" fillId="0" borderId="3" xfId="1" applyFont="1" applyBorder="1" applyAlignment="1">
      <alignment horizontal="center" vertical="center"/>
    </xf>
    <xf numFmtId="0" fontId="179" fillId="38" borderId="79" xfId="0" applyFont="1" applyFill="1" applyBorder="1" applyAlignment="1">
      <alignment horizontal="center"/>
    </xf>
    <xf numFmtId="0" fontId="179" fillId="38" borderId="80" xfId="0" applyFont="1" applyFill="1" applyBorder="1" applyAlignment="1">
      <alignment horizontal="center"/>
    </xf>
    <xf numFmtId="0" fontId="179" fillId="38" borderId="81" xfId="0" applyFont="1" applyFill="1" applyBorder="1" applyAlignment="1">
      <alignment horizontal="center"/>
    </xf>
    <xf numFmtId="178" fontId="181" fillId="34" borderId="54" xfId="0" applyNumberFormat="1" applyFont="1" applyFill="1" applyBorder="1" applyAlignment="1">
      <alignment horizontal="center"/>
    </xf>
    <xf numFmtId="178" fontId="201" fillId="34" borderId="79" xfId="0" applyNumberFormat="1" applyFont="1" applyFill="1" applyBorder="1" applyAlignment="1">
      <alignment horizontal="center"/>
    </xf>
    <xf numFmtId="178" fontId="201" fillId="34" borderId="80" xfId="0" applyNumberFormat="1" applyFont="1" applyFill="1" applyBorder="1" applyAlignment="1">
      <alignment horizontal="center"/>
    </xf>
    <xf numFmtId="178" fontId="181" fillId="33" borderId="80" xfId="0" applyNumberFormat="1" applyFont="1" applyFill="1" applyBorder="1" applyAlignment="1">
      <alignment horizontal="center"/>
    </xf>
    <xf numFmtId="178" fontId="181" fillId="33" borderId="81" xfId="0" applyNumberFormat="1" applyFont="1" applyFill="1" applyBorder="1" applyAlignment="1">
      <alignment horizontal="center"/>
    </xf>
    <xf numFmtId="5" fontId="23" fillId="0" borderId="13" xfId="22" applyNumberFormat="1" applyFont="1" applyBorder="1" applyAlignment="1">
      <alignment horizontal="center"/>
    </xf>
    <xf numFmtId="5" fontId="23" fillId="0" borderId="74" xfId="22" applyNumberFormat="1" applyFont="1" applyBorder="1" applyAlignment="1">
      <alignment horizontal="center"/>
    </xf>
    <xf numFmtId="5" fontId="15" fillId="0" borderId="72" xfId="22" applyNumberFormat="1" applyFont="1" applyBorder="1" applyAlignment="1">
      <alignment horizontal="center"/>
    </xf>
    <xf numFmtId="5" fontId="15" fillId="0" borderId="73" xfId="22" applyNumberFormat="1" applyFont="1" applyBorder="1" applyAlignment="1">
      <alignment horizontal="center"/>
    </xf>
    <xf numFmtId="0" fontId="181" fillId="6" borderId="79" xfId="0" applyFont="1" applyFill="1" applyBorder="1" applyAlignment="1">
      <alignment horizontal="right"/>
    </xf>
    <xf numFmtId="0" fontId="181" fillId="6" borderId="80" xfId="0" applyFont="1" applyFill="1" applyBorder="1" applyAlignment="1">
      <alignment horizontal="right"/>
    </xf>
    <xf numFmtId="0" fontId="180" fillId="5" borderId="57" xfId="0" applyFont="1" applyFill="1" applyBorder="1" applyAlignment="1">
      <alignment horizontal="left" wrapText="1"/>
    </xf>
    <xf numFmtId="0" fontId="180" fillId="5" borderId="0" xfId="0" applyFont="1" applyFill="1" applyAlignment="1">
      <alignment horizontal="left" wrapText="1"/>
    </xf>
    <xf numFmtId="5" fontId="15" fillId="0" borderId="66" xfId="22" applyNumberFormat="1" applyFont="1" applyBorder="1" applyAlignment="1">
      <alignment horizontal="center"/>
    </xf>
    <xf numFmtId="5" fontId="15" fillId="0" borderId="71" xfId="22" applyNumberFormat="1" applyFont="1" applyBorder="1" applyAlignment="1">
      <alignment horizontal="center"/>
    </xf>
    <xf numFmtId="0" fontId="181" fillId="32" borderId="79" xfId="0" applyFont="1" applyFill="1" applyBorder="1" applyAlignment="1">
      <alignment horizontal="right"/>
    </xf>
    <xf numFmtId="0" fontId="181" fillId="32" borderId="80" xfId="0" applyFont="1" applyFill="1" applyBorder="1" applyAlignment="1">
      <alignment horizontal="right"/>
    </xf>
    <xf numFmtId="0" fontId="181" fillId="33" borderId="79" xfId="0" applyFont="1" applyFill="1" applyBorder="1" applyAlignment="1">
      <alignment horizontal="right"/>
    </xf>
    <xf numFmtId="0" fontId="181" fillId="33" borderId="80" xfId="0" applyFont="1" applyFill="1" applyBorder="1" applyAlignment="1">
      <alignment horizontal="right"/>
    </xf>
    <xf numFmtId="3" fontId="183" fillId="0" borderId="0" xfId="0" applyNumberFormat="1" applyFont="1" applyAlignment="1">
      <alignment horizontal="center" vertical="center"/>
    </xf>
    <xf numFmtId="0" fontId="183" fillId="0" borderId="0" xfId="0" applyFont="1" applyAlignment="1">
      <alignment horizontal="center" vertical="center"/>
    </xf>
    <xf numFmtId="0" fontId="183" fillId="0" borderId="78" xfId="0" applyFont="1" applyBorder="1" applyAlignment="1">
      <alignment horizontal="center" vertical="center"/>
    </xf>
    <xf numFmtId="0" fontId="183" fillId="4" borderId="66" xfId="0" applyFont="1" applyFill="1" applyBorder="1" applyAlignment="1">
      <alignment horizontal="center"/>
    </xf>
    <xf numFmtId="0" fontId="183" fillId="4" borderId="9" xfId="0" applyFont="1" applyFill="1" applyBorder="1" applyAlignment="1">
      <alignment horizontal="center"/>
    </xf>
    <xf numFmtId="0" fontId="183" fillId="0" borderId="65" xfId="0" applyFont="1" applyBorder="1" applyAlignment="1">
      <alignment horizontal="left"/>
    </xf>
    <xf numFmtId="0" fontId="15" fillId="0" borderId="77" xfId="0" applyFont="1" applyBorder="1" applyAlignment="1">
      <alignment horizontal="right"/>
    </xf>
    <xf numFmtId="0" fontId="15" fillId="0" borderId="92" xfId="0" applyFont="1" applyBorder="1" applyAlignment="1">
      <alignment horizontal="right"/>
    </xf>
    <xf numFmtId="0" fontId="15" fillId="0" borderId="88" xfId="0" applyFont="1" applyBorder="1" applyAlignment="1">
      <alignment horizontal="right"/>
    </xf>
    <xf numFmtId="0" fontId="181" fillId="33" borderId="96" xfId="0" applyFont="1" applyFill="1" applyBorder="1" applyAlignment="1">
      <alignment horizontal="right"/>
    </xf>
    <xf numFmtId="0" fontId="181" fillId="33" borderId="97" xfId="0" applyFont="1" applyFill="1" applyBorder="1" applyAlignment="1">
      <alignment horizontal="right"/>
    </xf>
    <xf numFmtId="178" fontId="181" fillId="33" borderId="97" xfId="0" applyNumberFormat="1" applyFont="1" applyFill="1" applyBorder="1" applyAlignment="1">
      <alignment horizontal="center"/>
    </xf>
    <xf numFmtId="178" fontId="181" fillId="34" borderId="111" xfId="0" applyNumberFormat="1" applyFont="1" applyFill="1" applyBorder="1" applyAlignment="1">
      <alignment horizontal="center"/>
    </xf>
    <xf numFmtId="5" fontId="23" fillId="0" borderId="82" xfId="22" applyNumberFormat="1" applyFont="1" applyBorder="1" applyAlignment="1">
      <alignment horizontal="center"/>
    </xf>
    <xf numFmtId="5" fontId="15" fillId="0" borderId="112" xfId="22" applyNumberFormat="1" applyFont="1" applyBorder="1" applyAlignment="1">
      <alignment horizontal="center"/>
    </xf>
    <xf numFmtId="0" fontId="183" fillId="35" borderId="79" xfId="0" applyFont="1" applyFill="1" applyBorder="1" applyAlignment="1">
      <alignment horizontal="right"/>
    </xf>
    <xf numFmtId="0" fontId="183" fillId="35" borderId="80" xfId="0" applyFont="1" applyFill="1" applyBorder="1" applyAlignment="1">
      <alignment horizontal="right"/>
    </xf>
    <xf numFmtId="0" fontId="180" fillId="5" borderId="57" xfId="0" applyFont="1" applyFill="1" applyBorder="1" applyAlignment="1">
      <alignment horizontal="left"/>
    </xf>
    <xf numFmtId="0" fontId="180" fillId="5" borderId="0" xfId="0" applyFont="1" applyFill="1" applyAlignment="1">
      <alignment horizontal="left"/>
    </xf>
    <xf numFmtId="5" fontId="15" fillId="0" borderId="9" xfId="22" applyNumberFormat="1" applyFont="1" applyBorder="1" applyAlignment="1">
      <alignment horizontal="center"/>
    </xf>
    <xf numFmtId="3" fontId="181" fillId="32" borderId="80" xfId="0" applyNumberFormat="1" applyFont="1" applyFill="1" applyBorder="1" applyAlignment="1">
      <alignment horizontal="center"/>
    </xf>
    <xf numFmtId="0" fontId="181" fillId="32" borderId="81" xfId="0" applyFont="1" applyFill="1" applyBorder="1" applyAlignment="1">
      <alignment horizontal="center"/>
    </xf>
    <xf numFmtId="3" fontId="181" fillId="33" borderId="80" xfId="0" applyNumberFormat="1" applyFont="1" applyFill="1" applyBorder="1" applyAlignment="1">
      <alignment horizontal="center"/>
    </xf>
    <xf numFmtId="0" fontId="181" fillId="33" borderId="81" xfId="0" applyFont="1" applyFill="1" applyBorder="1" applyAlignment="1">
      <alignment horizontal="center"/>
    </xf>
    <xf numFmtId="0" fontId="183" fillId="0" borderId="6" xfId="0" applyFont="1" applyBorder="1" applyAlignment="1">
      <alignment horizontal="center" vertical="center"/>
    </xf>
    <xf numFmtId="0" fontId="183" fillId="0" borderId="92" xfId="0" applyFont="1" applyBorder="1" applyAlignment="1">
      <alignment horizontal="center" vertical="center"/>
    </xf>
    <xf numFmtId="0" fontId="183" fillId="37" borderId="101" xfId="1347" applyFont="1" applyFill="1" applyBorder="1" applyAlignment="1">
      <alignment horizontal="center"/>
    </xf>
    <xf numFmtId="0" fontId="23" fillId="37" borderId="107" xfId="1347" applyFont="1" applyFill="1" applyBorder="1" applyAlignment="1">
      <alignment horizontal="center" vertical="center"/>
    </xf>
    <xf numFmtId="37" fontId="23" fillId="37" borderId="114" xfId="1347" applyNumberFormat="1" applyFont="1" applyFill="1" applyBorder="1" applyAlignment="1">
      <alignment horizontal="center" vertical="center"/>
    </xf>
    <xf numFmtId="37" fontId="194" fillId="37" borderId="107" xfId="1347" applyNumberFormat="1" applyFont="1" applyFill="1" applyBorder="1" applyAlignment="1">
      <alignment horizontal="center" vertical="center"/>
    </xf>
    <xf numFmtId="0" fontId="194" fillId="37" borderId="114" xfId="1347" applyFont="1" applyFill="1" applyBorder="1" applyAlignment="1">
      <alignment horizontal="center" vertical="center"/>
    </xf>
    <xf numFmtId="168" fontId="194" fillId="37" borderId="107" xfId="1358" applyNumberFormat="1" applyFont="1" applyFill="1" applyBorder="1" applyAlignment="1">
      <alignment horizontal="center" vertical="center"/>
    </xf>
    <xf numFmtId="6" fontId="194" fillId="37" borderId="114" xfId="1347" applyNumberFormat="1" applyFont="1" applyFill="1" applyBorder="1" applyAlignment="1">
      <alignment horizontal="center"/>
    </xf>
    <xf numFmtId="37" fontId="180" fillId="4" borderId="107" xfId="1347" applyNumberFormat="1" applyFont="1" applyFill="1" applyBorder="1" applyAlignment="1">
      <alignment horizontal="center" vertical="center"/>
    </xf>
    <xf numFmtId="0" fontId="180" fillId="4" borderId="114" xfId="1347" applyFont="1" applyFill="1" applyBorder="1"/>
    <xf numFmtId="1" fontId="194" fillId="37" borderId="107" xfId="1360" applyNumberFormat="1" applyFont="1" applyFill="1" applyBorder="1" applyAlignment="1">
      <alignment horizontal="center" vertical="center"/>
    </xf>
    <xf numFmtId="0" fontId="194" fillId="37" borderId="114" xfId="1347" applyFont="1" applyFill="1" applyBorder="1" applyAlignment="1">
      <alignment horizontal="center"/>
    </xf>
    <xf numFmtId="0" fontId="23" fillId="37" borderId="96" xfId="1347" applyFont="1" applyFill="1" applyBorder="1" applyAlignment="1">
      <alignment vertical="center"/>
    </xf>
    <xf numFmtId="0" fontId="15" fillId="37" borderId="96" xfId="1347" applyFont="1" applyFill="1" applyBorder="1" applyAlignment="1">
      <alignment horizontal="left" vertical="center"/>
    </xf>
    <xf numFmtId="169" fontId="194" fillId="37" borderId="98" xfId="1347" applyNumberFormat="1" applyFont="1" applyFill="1" applyBorder="1" applyAlignment="1">
      <alignment horizontal="center" vertical="center"/>
    </xf>
    <xf numFmtId="0" fontId="180" fillId="4" borderId="114" xfId="1347" applyFont="1" applyFill="1" applyBorder="1" applyAlignment="1">
      <alignment horizontal="center"/>
    </xf>
    <xf numFmtId="3" fontId="194" fillId="37" borderId="114" xfId="1347" applyNumberFormat="1" applyFont="1" applyFill="1" applyBorder="1" applyAlignment="1">
      <alignment horizontal="center"/>
    </xf>
    <xf numFmtId="14" fontId="15" fillId="37" borderId="114" xfId="1347" applyNumberFormat="1" applyFont="1" applyFill="1" applyBorder="1" applyAlignment="1">
      <alignment horizontal="center" wrapText="1"/>
    </xf>
    <xf numFmtId="275" fontId="194" fillId="37" borderId="114" xfId="1" applyNumberFormat="1" applyFont="1" applyFill="1" applyBorder="1" applyAlignment="1">
      <alignment horizontal="center" vertical="center"/>
    </xf>
    <xf numFmtId="14" fontId="180" fillId="37" borderId="114" xfId="1347" applyNumberFormat="1" applyFont="1" applyFill="1" applyBorder="1" applyAlignment="1">
      <alignment horizontal="center" wrapText="1"/>
    </xf>
    <xf numFmtId="168" fontId="194" fillId="37" borderId="115" xfId="1358" applyNumberFormat="1" applyFont="1" applyFill="1" applyBorder="1" applyAlignment="1">
      <alignment horizontal="center" vertical="center"/>
    </xf>
    <xf numFmtId="6" fontId="194" fillId="37" borderId="116" xfId="1347" applyNumberFormat="1" applyFont="1" applyFill="1" applyBorder="1" applyAlignment="1">
      <alignment horizontal="center"/>
    </xf>
    <xf numFmtId="0" fontId="181" fillId="8" borderId="114" xfId="0" applyFont="1" applyFill="1" applyBorder="1" applyAlignment="1">
      <alignment horizontal="center" vertical="center" wrapText="1"/>
    </xf>
    <xf numFmtId="0" fontId="181" fillId="8" borderId="113" xfId="0" applyFont="1" applyFill="1" applyBorder="1"/>
    <xf numFmtId="0" fontId="181" fillId="8" borderId="113" xfId="0" applyFont="1" applyFill="1" applyBorder="1" applyAlignment="1">
      <alignment horizontal="center" wrapText="1"/>
    </xf>
    <xf numFmtId="0" fontId="15" fillId="0" borderId="117" xfId="0" applyFont="1" applyBorder="1" applyAlignment="1">
      <alignment wrapText="1"/>
    </xf>
    <xf numFmtId="288" fontId="194" fillId="0" borderId="118" xfId="0" applyNumberFormat="1" applyFont="1" applyBorder="1" applyAlignment="1">
      <alignment horizontal="center"/>
    </xf>
    <xf numFmtId="0" fontId="180" fillId="37" borderId="117" xfId="1347" applyFont="1" applyFill="1" applyBorder="1" applyAlignment="1">
      <alignment wrapText="1"/>
    </xf>
    <xf numFmtId="268" fontId="194" fillId="0" borderId="118" xfId="0" applyNumberFormat="1" applyFont="1" applyBorder="1" applyAlignment="1">
      <alignment horizontal="center"/>
    </xf>
    <xf numFmtId="0" fontId="180" fillId="37" borderId="117" xfId="1347" applyFont="1" applyFill="1" applyBorder="1"/>
    <xf numFmtId="0" fontId="180" fillId="37" borderId="118" xfId="1347" applyFont="1" applyFill="1" applyBorder="1" applyAlignment="1">
      <alignment horizontal="center"/>
    </xf>
    <xf numFmtId="262" fontId="194" fillId="0" borderId="118" xfId="0" applyNumberFormat="1" applyFont="1" applyBorder="1" applyAlignment="1">
      <alignment horizontal="center"/>
    </xf>
    <xf numFmtId="0" fontId="180" fillId="0" borderId="118" xfId="0" applyFont="1" applyBorder="1" applyAlignment="1">
      <alignment horizontal="center" wrapText="1"/>
    </xf>
    <xf numFmtId="263" fontId="194" fillId="0" borderId="118" xfId="0" applyNumberFormat="1" applyFont="1" applyBorder="1" applyAlignment="1">
      <alignment horizontal="center"/>
    </xf>
    <xf numFmtId="0" fontId="15" fillId="0" borderId="117" xfId="0" applyFont="1" applyBorder="1"/>
    <xf numFmtId="0" fontId="194" fillId="0" borderId="118" xfId="0" applyFont="1" applyBorder="1" applyAlignment="1">
      <alignment horizontal="center"/>
    </xf>
    <xf numFmtId="264" fontId="194" fillId="0" borderId="118" xfId="0" applyNumberFormat="1" applyFont="1" applyBorder="1" applyAlignment="1">
      <alignment horizontal="center"/>
    </xf>
    <xf numFmtId="272" fontId="194" fillId="0" borderId="118" xfId="0" applyNumberFormat="1" applyFont="1" applyBorder="1" applyAlignment="1">
      <alignment horizontal="center"/>
    </xf>
    <xf numFmtId="10" fontId="194" fillId="0" borderId="118" xfId="1" applyNumberFormat="1" applyFont="1" applyBorder="1" applyAlignment="1">
      <alignment horizontal="center"/>
    </xf>
    <xf numFmtId="269" fontId="194" fillId="0" borderId="118" xfId="0" applyNumberFormat="1" applyFont="1" applyBorder="1" applyAlignment="1">
      <alignment horizontal="center"/>
    </xf>
    <xf numFmtId="265" fontId="194" fillId="0" borderId="118" xfId="0" applyNumberFormat="1" applyFont="1" applyBorder="1" applyAlignment="1">
      <alignment horizontal="center"/>
    </xf>
    <xf numFmtId="271" fontId="194" fillId="0" borderId="118" xfId="0" applyNumberFormat="1" applyFont="1" applyBorder="1" applyAlignment="1">
      <alignment horizontal="center"/>
    </xf>
    <xf numFmtId="266" fontId="194" fillId="0" borderId="118" xfId="0" applyNumberFormat="1" applyFont="1" applyBorder="1" applyAlignment="1">
      <alignment horizontal="center"/>
    </xf>
    <xf numFmtId="185" fontId="15" fillId="0" borderId="119" xfId="0" applyNumberFormat="1" applyFont="1" applyBorder="1"/>
    <xf numFmtId="276" fontId="194" fillId="0" borderId="120" xfId="0" applyNumberFormat="1" applyFont="1" applyBorder="1" applyAlignment="1">
      <alignment horizontal="center"/>
    </xf>
    <xf numFmtId="0" fontId="183" fillId="0" borderId="93" xfId="0" applyFont="1" applyBorder="1" applyAlignment="1">
      <alignment horizontal="center"/>
    </xf>
    <xf numFmtId="0" fontId="183" fillId="0" borderId="94" xfId="0" applyFont="1" applyBorder="1" applyAlignment="1">
      <alignment horizontal="center"/>
    </xf>
    <xf numFmtId="0" fontId="183" fillId="0" borderId="95" xfId="0" applyFont="1" applyBorder="1" applyAlignment="1">
      <alignment horizontal="center"/>
    </xf>
    <xf numFmtId="0" fontId="183" fillId="37" borderId="93" xfId="1347" applyFont="1" applyFill="1" applyBorder="1" applyAlignment="1">
      <alignment horizontal="center"/>
    </xf>
    <xf numFmtId="0" fontId="183" fillId="37" borderId="94" xfId="1347" applyFont="1" applyFill="1" applyBorder="1" applyAlignment="1">
      <alignment horizontal="center"/>
    </xf>
    <xf numFmtId="0" fontId="183" fillId="37" borderId="95" xfId="1347" applyFont="1" applyFill="1" applyBorder="1" applyAlignment="1">
      <alignment horizontal="center"/>
    </xf>
    <xf numFmtId="0" fontId="23" fillId="0" borderId="117" xfId="0" applyFont="1" applyBorder="1" applyAlignment="1">
      <alignment horizontal="right"/>
    </xf>
    <xf numFmtId="0" fontId="183" fillId="0" borderId="114" xfId="0" applyFont="1" applyBorder="1" applyAlignment="1">
      <alignment horizontal="center"/>
    </xf>
    <xf numFmtId="0" fontId="183" fillId="0" borderId="118" xfId="0" applyFont="1" applyBorder="1" applyAlignment="1">
      <alignment horizontal="center"/>
    </xf>
    <xf numFmtId="6" fontId="180" fillId="0" borderId="114" xfId="0" applyNumberFormat="1" applyFont="1" applyBorder="1"/>
    <xf numFmtId="6" fontId="180" fillId="0" borderId="118" xfId="0" applyNumberFormat="1" applyFont="1" applyBorder="1"/>
    <xf numFmtId="6" fontId="180" fillId="0" borderId="114" xfId="0" applyNumberFormat="1" applyFont="1" applyBorder="1" applyAlignment="1">
      <alignment horizontal="center"/>
    </xf>
    <xf numFmtId="0" fontId="23" fillId="0" borderId="117" xfId="0" applyFont="1" applyBorder="1"/>
    <xf numFmtId="0" fontId="23" fillId="0" borderId="96" xfId="0" applyFont="1" applyBorder="1" applyAlignment="1">
      <alignment wrapText="1"/>
    </xf>
    <xf numFmtId="6" fontId="180" fillId="0" borderId="97" xfId="0" applyNumberFormat="1" applyFont="1" applyBorder="1" applyAlignment="1">
      <alignment horizontal="center"/>
    </xf>
    <xf numFmtId="6" fontId="180" fillId="0" borderId="98" xfId="0" applyNumberFormat="1" applyFont="1" applyBorder="1" applyAlignment="1">
      <alignment horizontal="center"/>
    </xf>
    <xf numFmtId="0" fontId="15" fillId="0" borderId="121" xfId="0" applyFont="1" applyBorder="1"/>
    <xf numFmtId="6" fontId="180" fillId="0" borderId="122" xfId="0" applyNumberFormat="1" applyFont="1" applyBorder="1"/>
    <xf numFmtId="6" fontId="180" fillId="0" borderId="123" xfId="0" applyNumberFormat="1" applyFont="1" applyBorder="1"/>
    <xf numFmtId="6" fontId="23" fillId="0" borderId="114" xfId="0" applyNumberFormat="1" applyFont="1" applyBorder="1"/>
    <xf numFmtId="6" fontId="23" fillId="0" borderId="118" xfId="0" applyNumberFormat="1" applyFont="1" applyBorder="1"/>
    <xf numFmtId="6" fontId="23" fillId="0" borderId="92" xfId="0" applyNumberFormat="1" applyFont="1" applyBorder="1" applyAlignment="1">
      <alignment horizontal="center"/>
    </xf>
    <xf numFmtId="0" fontId="192" fillId="0" borderId="96" xfId="0" applyFont="1" applyBorder="1" applyAlignment="1">
      <alignment wrapText="1"/>
    </xf>
    <xf numFmtId="10" fontId="180" fillId="0" borderId="114" xfId="7" applyNumberFormat="1" applyFont="1" applyBorder="1"/>
    <xf numFmtId="10" fontId="180" fillId="0" borderId="118" xfId="7" applyNumberFormat="1" applyFont="1" applyBorder="1"/>
    <xf numFmtId="0" fontId="23" fillId="0" borderId="119" xfId="0" applyFont="1" applyBorder="1"/>
    <xf numFmtId="6" fontId="23" fillId="0" borderId="116" xfId="0" applyNumberFormat="1" applyFont="1" applyBorder="1"/>
    <xf numFmtId="6" fontId="23" fillId="0" borderId="120" xfId="0" applyNumberFormat="1" applyFont="1" applyBorder="1"/>
    <xf numFmtId="0" fontId="200" fillId="0" borderId="124" xfId="0" applyFont="1" applyBorder="1" applyAlignment="1">
      <alignment vertical="center"/>
    </xf>
    <xf numFmtId="3" fontId="200" fillId="0" borderId="117" xfId="0" applyNumberFormat="1" applyFont="1" applyBorder="1" applyAlignment="1">
      <alignment horizontal="center" vertical="center" wrapText="1"/>
    </xf>
    <xf numFmtId="0" fontId="200" fillId="0" borderId="114" xfId="0" applyFont="1" applyBorder="1" applyAlignment="1">
      <alignment horizontal="right" vertical="center"/>
    </xf>
    <xf numFmtId="3" fontId="200" fillId="0" borderId="114" xfId="0" applyNumberFormat="1" applyFont="1" applyBorder="1" applyAlignment="1">
      <alignment horizontal="center" vertical="center"/>
    </xf>
    <xf numFmtId="0" fontId="189" fillId="0" borderId="114" xfId="0" applyFont="1" applyBorder="1" applyAlignment="1">
      <alignment horizontal="center" vertical="center" wrapText="1"/>
    </xf>
    <xf numFmtId="182" fontId="178" fillId="0" borderId="114" xfId="0" applyNumberFormat="1" applyFont="1" applyBorder="1" applyAlignment="1">
      <alignment horizontal="center" vertical="center"/>
    </xf>
    <xf numFmtId="292" fontId="178" fillId="0" borderId="114" xfId="0" applyNumberFormat="1" applyFont="1" applyBorder="1" applyAlignment="1">
      <alignment vertical="center" wrapText="1"/>
    </xf>
    <xf numFmtId="279" fontId="178" fillId="0" borderId="114" xfId="0" applyNumberFormat="1" applyFont="1" applyBorder="1" applyAlignment="1">
      <alignment horizontal="center" vertical="center"/>
    </xf>
    <xf numFmtId="169" fontId="178" fillId="0" borderId="114" xfId="0" applyNumberFormat="1" applyFont="1" applyBorder="1" applyAlignment="1">
      <alignment vertical="center"/>
    </xf>
    <xf numFmtId="6" fontId="178" fillId="0" borderId="114" xfId="0" applyNumberFormat="1" applyFont="1" applyBorder="1" applyAlignment="1">
      <alignment vertical="center"/>
    </xf>
    <xf numFmtId="6" fontId="178" fillId="0" borderId="114" xfId="0" applyNumberFormat="1" applyFont="1" applyBorder="1" applyAlignment="1">
      <alignment horizontal="center" vertical="center"/>
    </xf>
    <xf numFmtId="9" fontId="178" fillId="0" borderId="118" xfId="0" applyNumberFormat="1" applyFont="1" applyBorder="1" applyAlignment="1">
      <alignment horizontal="center" vertical="center"/>
    </xf>
    <xf numFmtId="3" fontId="200" fillId="0" borderId="125" xfId="0" applyNumberFormat="1" applyFont="1" applyBorder="1" applyAlignment="1">
      <alignment horizontal="center" vertical="center"/>
    </xf>
    <xf numFmtId="0" fontId="200" fillId="0" borderId="114" xfId="0" applyFont="1" applyBorder="1" applyAlignment="1">
      <alignment vertical="center"/>
    </xf>
    <xf numFmtId="3" fontId="200" fillId="0" borderId="126" xfId="0" applyNumberFormat="1" applyFont="1" applyBorder="1" applyAlignment="1">
      <alignment horizontal="center" vertical="center"/>
    </xf>
    <xf numFmtId="0" fontId="189" fillId="0" borderId="126" xfId="0" applyFont="1" applyBorder="1" applyAlignment="1">
      <alignment horizontal="center" vertical="center" wrapText="1"/>
    </xf>
    <xf numFmtId="182" fontId="178" fillId="0" borderId="126" xfId="0" applyNumberFormat="1" applyFont="1" applyBorder="1" applyAlignment="1">
      <alignment horizontal="center" vertical="center" wrapText="1"/>
    </xf>
    <xf numFmtId="292" fontId="178" fillId="0" borderId="126" xfId="0" applyNumberFormat="1" applyFont="1" applyBorder="1" applyAlignment="1">
      <alignment horizontal="center" vertical="center" wrapText="1"/>
    </xf>
    <xf numFmtId="279" fontId="178" fillId="0" borderId="126" xfId="0" applyNumberFormat="1" applyFont="1" applyBorder="1" applyAlignment="1">
      <alignment horizontal="center" vertical="center"/>
    </xf>
    <xf numFmtId="169" fontId="178" fillId="0" borderId="126" xfId="0" applyNumberFormat="1" applyFont="1" applyBorder="1" applyAlignment="1">
      <alignment horizontal="center" vertical="center"/>
    </xf>
    <xf numFmtId="6" fontId="178" fillId="0" borderId="126" xfId="0" applyNumberFormat="1" applyFont="1" applyBorder="1" applyAlignment="1">
      <alignment horizontal="center" vertical="center"/>
    </xf>
    <xf numFmtId="9" fontId="178" fillId="0" borderId="127" xfId="1" applyFont="1" applyBorder="1" applyAlignment="1">
      <alignment horizontal="center" vertical="center"/>
    </xf>
    <xf numFmtId="3" fontId="200" fillId="0" borderId="125" xfId="0" applyNumberFormat="1" applyFont="1" applyBorder="1" applyAlignment="1">
      <alignment horizontal="center" vertical="center" wrapText="1"/>
    </xf>
    <xf numFmtId="0" fontId="200" fillId="41" borderId="114" xfId="0" applyFont="1" applyFill="1" applyBorder="1" applyAlignment="1">
      <alignment horizontal="right" vertical="center"/>
    </xf>
    <xf numFmtId="3" fontId="189" fillId="0" borderId="126" xfId="0" applyNumberFormat="1" applyFont="1" applyBorder="1" applyAlignment="1">
      <alignment horizontal="center" vertical="center" wrapText="1"/>
    </xf>
    <xf numFmtId="182" fontId="178" fillId="0" borderId="126" xfId="0" applyNumberFormat="1" applyFont="1" applyBorder="1" applyAlignment="1">
      <alignment horizontal="center" vertical="center"/>
    </xf>
    <xf numFmtId="285" fontId="178" fillId="0" borderId="126" xfId="0" applyNumberFormat="1" applyFont="1" applyBorder="1" applyAlignment="1">
      <alignment horizontal="center" vertical="center"/>
    </xf>
    <xf numFmtId="9" fontId="178" fillId="0" borderId="127" xfId="0" applyNumberFormat="1" applyFont="1" applyBorder="1" applyAlignment="1">
      <alignment horizontal="center" vertical="center"/>
    </xf>
    <xf numFmtId="0" fontId="200" fillId="41" borderId="114" xfId="0" applyFont="1" applyFill="1" applyBorder="1" applyAlignment="1">
      <alignment horizontal="right" vertical="center" wrapText="1"/>
    </xf>
    <xf numFmtId="0" fontId="200" fillId="42" borderId="114" xfId="0" applyFont="1" applyFill="1" applyBorder="1" applyAlignment="1">
      <alignment horizontal="right" vertical="center"/>
    </xf>
    <xf numFmtId="3" fontId="200" fillId="0" borderId="126" xfId="0" applyNumberFormat="1" applyFont="1" applyBorder="1" applyAlignment="1">
      <alignment horizontal="center" vertical="center" wrapText="1"/>
    </xf>
    <xf numFmtId="286" fontId="178" fillId="0" borderId="126" xfId="0" applyNumberFormat="1" applyFont="1" applyBorder="1" applyAlignment="1">
      <alignment horizontal="center" vertical="center"/>
    </xf>
    <xf numFmtId="5" fontId="178" fillId="0" borderId="126" xfId="0" applyNumberFormat="1" applyFont="1" applyBorder="1" applyAlignment="1">
      <alignment horizontal="center" vertical="center"/>
    </xf>
    <xf numFmtId="6" fontId="199" fillId="0" borderId="126" xfId="0" applyNumberFormat="1" applyFont="1" applyBorder="1" applyAlignment="1">
      <alignment horizontal="center" vertical="center"/>
    </xf>
    <xf numFmtId="3" fontId="200" fillId="4" borderId="125" xfId="0" applyNumberFormat="1" applyFont="1" applyFill="1" applyBorder="1" applyAlignment="1">
      <alignment horizontal="center" vertical="center" wrapText="1"/>
    </xf>
    <xf numFmtId="0" fontId="200" fillId="4" borderId="114" xfId="0" applyFont="1" applyFill="1" applyBorder="1" applyAlignment="1">
      <alignment horizontal="right" vertical="center"/>
    </xf>
    <xf numFmtId="3" fontId="200" fillId="4" borderId="114" xfId="0" applyNumberFormat="1" applyFont="1" applyFill="1" applyBorder="1" applyAlignment="1">
      <alignment horizontal="center" vertical="center" wrapText="1"/>
    </xf>
    <xf numFmtId="3" fontId="189" fillId="4" borderId="114" xfId="0" applyNumberFormat="1" applyFont="1" applyFill="1" applyBorder="1" applyAlignment="1">
      <alignment horizontal="center" vertical="center" wrapText="1"/>
    </xf>
    <xf numFmtId="182" fontId="178" fillId="4" borderId="114" xfId="0" applyNumberFormat="1" applyFont="1" applyFill="1" applyBorder="1" applyAlignment="1">
      <alignment horizontal="center" vertical="center"/>
    </xf>
    <xf numFmtId="294" fontId="178" fillId="4" borderId="114" xfId="0" applyNumberFormat="1" applyFont="1" applyFill="1" applyBorder="1" applyAlignment="1">
      <alignment horizontal="center" vertical="center" wrapText="1"/>
    </xf>
    <xf numFmtId="279" fontId="178" fillId="4" borderId="114" xfId="0" applyNumberFormat="1" applyFont="1" applyFill="1" applyBorder="1" applyAlignment="1">
      <alignment horizontal="center" vertical="center"/>
    </xf>
    <xf numFmtId="6" fontId="178" fillId="4" borderId="114" xfId="0" applyNumberFormat="1" applyFont="1" applyFill="1" applyBorder="1" applyAlignment="1">
      <alignment horizontal="center" vertical="center"/>
    </xf>
    <xf numFmtId="5" fontId="178" fillId="4" borderId="114" xfId="0" applyNumberFormat="1" applyFont="1" applyFill="1" applyBorder="1" applyAlignment="1">
      <alignment horizontal="center" vertical="center"/>
    </xf>
    <xf numFmtId="9" fontId="178" fillId="4" borderId="118" xfId="0" applyNumberFormat="1" applyFont="1" applyFill="1" applyBorder="1" applyAlignment="1">
      <alignment horizontal="center" vertical="center"/>
    </xf>
    <xf numFmtId="3" fontId="200" fillId="11" borderId="125" xfId="0" applyNumberFormat="1" applyFont="1" applyFill="1" applyBorder="1" applyAlignment="1">
      <alignment horizontal="center" vertical="center" wrapText="1"/>
    </xf>
    <xf numFmtId="0" fontId="200" fillId="11" borderId="114" xfId="0" applyFont="1" applyFill="1" applyBorder="1" applyAlignment="1">
      <alignment horizontal="right" vertical="center"/>
    </xf>
    <xf numFmtId="3" fontId="200" fillId="11" borderId="126" xfId="0" applyNumberFormat="1" applyFont="1" applyFill="1" applyBorder="1" applyAlignment="1">
      <alignment horizontal="center" vertical="center" wrapText="1"/>
    </xf>
    <xf numFmtId="3" fontId="189" fillId="11" borderId="126" xfId="0" applyNumberFormat="1" applyFont="1" applyFill="1" applyBorder="1" applyAlignment="1">
      <alignment horizontal="center" vertical="center" wrapText="1"/>
    </xf>
    <xf numFmtId="182" fontId="178" fillId="11" borderId="126" xfId="0" applyNumberFormat="1" applyFont="1" applyFill="1" applyBorder="1" applyAlignment="1">
      <alignment horizontal="center" vertical="center"/>
    </xf>
    <xf numFmtId="294" fontId="178" fillId="11" borderId="126" xfId="0" applyNumberFormat="1" applyFont="1" applyFill="1" applyBorder="1" applyAlignment="1">
      <alignment horizontal="center" vertical="center" wrapText="1"/>
    </xf>
    <xf numFmtId="279" fontId="178" fillId="11" borderId="126" xfId="0" applyNumberFormat="1" applyFont="1" applyFill="1" applyBorder="1" applyAlignment="1">
      <alignment horizontal="center" vertical="center"/>
    </xf>
    <xf numFmtId="6" fontId="178" fillId="11" borderId="126" xfId="0" applyNumberFormat="1" applyFont="1" applyFill="1" applyBorder="1" applyAlignment="1">
      <alignment horizontal="center" vertical="center"/>
    </xf>
    <xf numFmtId="5" fontId="178" fillId="11" borderId="126" xfId="0" applyNumberFormat="1" applyFont="1" applyFill="1" applyBorder="1" applyAlignment="1">
      <alignment horizontal="center" vertical="center"/>
    </xf>
    <xf numFmtId="9" fontId="178" fillId="11" borderId="118" xfId="0" applyNumberFormat="1" applyFont="1" applyFill="1" applyBorder="1" applyAlignment="1">
      <alignment horizontal="center" vertical="center"/>
    </xf>
    <xf numFmtId="0" fontId="198" fillId="0" borderId="119" xfId="0" applyFont="1" applyBorder="1" applyAlignment="1">
      <alignment horizontal="center" vertical="center"/>
    </xf>
    <xf numFmtId="3" fontId="198" fillId="0" borderId="116" xfId="0" applyNumberFormat="1" applyFont="1" applyBorder="1" applyAlignment="1">
      <alignment horizontal="center" vertical="center"/>
    </xf>
    <xf numFmtId="0" fontId="199" fillId="4" borderId="116" xfId="0" applyFont="1" applyFill="1" applyBorder="1" applyAlignment="1">
      <alignment horizontal="center" vertical="center"/>
    </xf>
    <xf numFmtId="290" fontId="198" fillId="0" borderId="116" xfId="0" applyNumberFormat="1" applyFont="1" applyBorder="1" applyAlignment="1">
      <alignment horizontal="center" vertical="center"/>
    </xf>
    <xf numFmtId="283" fontId="198" fillId="0" borderId="116" xfId="0" applyNumberFormat="1" applyFont="1" applyBorder="1" applyAlignment="1">
      <alignment horizontal="center" vertical="center"/>
    </xf>
    <xf numFmtId="169" fontId="198" fillId="0" borderId="116" xfId="0" applyNumberFormat="1" applyFont="1" applyBorder="1" applyAlignment="1">
      <alignment horizontal="center" vertical="center"/>
    </xf>
    <xf numFmtId="6" fontId="199" fillId="0" borderId="128" xfId="0" applyNumberFormat="1" applyFont="1" applyBorder="1" applyAlignment="1">
      <alignment horizontal="center" vertical="center"/>
    </xf>
    <xf numFmtId="10" fontId="198" fillId="0" borderId="120" xfId="0" applyNumberFormat="1" applyFont="1" applyBorder="1" applyAlignment="1">
      <alignment horizontal="center" vertical="center"/>
    </xf>
    <xf numFmtId="0" fontId="178" fillId="0" borderId="117" xfId="0" applyFont="1" applyBorder="1" applyAlignment="1">
      <alignment wrapText="1"/>
    </xf>
    <xf numFmtId="169" fontId="178" fillId="0" borderId="114" xfId="0" applyNumberFormat="1" applyFont="1" applyBorder="1" applyAlignment="1">
      <alignment horizontal="center"/>
    </xf>
    <xf numFmtId="169" fontId="178" fillId="0" borderId="118" xfId="0" applyNumberFormat="1" applyFont="1" applyBorder="1" applyAlignment="1">
      <alignment horizontal="center"/>
    </xf>
    <xf numFmtId="169" fontId="178" fillId="0" borderId="114" xfId="0" applyNumberFormat="1" applyFont="1" applyBorder="1"/>
    <xf numFmtId="169" fontId="178" fillId="0" borderId="118" xfId="0" applyNumberFormat="1" applyFont="1" applyBorder="1"/>
    <xf numFmtId="0" fontId="178" fillId="0" borderId="121" xfId="0" applyFont="1" applyBorder="1" applyAlignment="1">
      <alignment wrapText="1"/>
    </xf>
    <xf numFmtId="169" fontId="178" fillId="0" borderId="122" xfId="0" applyNumberFormat="1" applyFont="1" applyBorder="1"/>
    <xf numFmtId="169" fontId="178" fillId="0" borderId="123" xfId="0" applyNumberFormat="1" applyFont="1" applyBorder="1"/>
    <xf numFmtId="3" fontId="189" fillId="0" borderId="125" xfId="0" applyNumberFormat="1" applyFont="1" applyBorder="1" applyAlignment="1">
      <alignment horizontal="center" vertical="center" wrapText="1"/>
    </xf>
    <xf numFmtId="291" fontId="178" fillId="0" borderId="126" xfId="0" applyNumberFormat="1" applyFont="1" applyBorder="1" applyAlignment="1">
      <alignment horizontal="center" vertical="center" wrapText="1"/>
    </xf>
    <xf numFmtId="14" fontId="178" fillId="0" borderId="126" xfId="0" applyNumberFormat="1" applyFont="1" applyBorder="1" applyAlignment="1">
      <alignment horizontal="center" vertical="center"/>
    </xf>
    <xf numFmtId="14" fontId="178" fillId="0" borderId="127" xfId="0" applyNumberFormat="1" applyFont="1" applyBorder="1" applyAlignment="1">
      <alignment vertical="center"/>
    </xf>
    <xf numFmtId="14" fontId="178" fillId="0" borderId="129" xfId="0" applyNumberFormat="1" applyFont="1" applyBorder="1" applyAlignment="1">
      <alignment horizontal="center" vertical="center" wrapText="1"/>
    </xf>
    <xf numFmtId="3" fontId="189" fillId="0" borderId="117" xfId="0" applyNumberFormat="1" applyFont="1" applyBorder="1" applyAlignment="1">
      <alignment horizontal="center" vertical="center" wrapText="1"/>
    </xf>
    <xf numFmtId="3" fontId="189" fillId="0" borderId="119" xfId="0" applyNumberFormat="1" applyFont="1" applyBorder="1" applyAlignment="1">
      <alignment horizontal="center" vertical="center" wrapText="1"/>
    </xf>
    <xf numFmtId="291" fontId="178" fillId="0" borderId="116" xfId="0" applyNumberFormat="1" applyFont="1" applyBorder="1" applyAlignment="1">
      <alignment horizontal="center" vertical="center" wrapText="1"/>
    </xf>
    <xf numFmtId="14" fontId="178" fillId="0" borderId="115" xfId="0" applyNumberFormat="1" applyFont="1" applyBorder="1" applyAlignment="1">
      <alignment horizontal="center" vertical="center"/>
    </xf>
    <xf numFmtId="14" fontId="178" fillId="0" borderId="116" xfId="0" applyNumberFormat="1" applyFont="1" applyBorder="1" applyAlignment="1">
      <alignment horizontal="center" vertical="center"/>
    </xf>
    <xf numFmtId="14" fontId="178" fillId="0" borderId="120" xfId="0" applyNumberFormat="1" applyFont="1" applyBorder="1" applyAlignment="1">
      <alignment vertical="center"/>
    </xf>
    <xf numFmtId="0" fontId="178" fillId="38" borderId="117" xfId="0" applyFont="1" applyFill="1" applyBorder="1" applyAlignment="1">
      <alignment horizontal="center" vertical="center" wrapText="1"/>
    </xf>
    <xf numFmtId="0" fontId="178" fillId="38" borderId="114" xfId="0" applyFont="1" applyFill="1" applyBorder="1" applyAlignment="1">
      <alignment horizontal="center" vertical="center"/>
    </xf>
    <xf numFmtId="0" fontId="178" fillId="38" borderId="114" xfId="0" applyFont="1" applyFill="1" applyBorder="1" applyAlignment="1">
      <alignment horizontal="center" vertical="center" wrapText="1"/>
    </xf>
    <xf numFmtId="9" fontId="189" fillId="38" borderId="118" xfId="0" applyNumberFormat="1" applyFont="1" applyFill="1" applyBorder="1" applyAlignment="1">
      <alignment horizontal="center" vertical="center" wrapText="1"/>
    </xf>
    <xf numFmtId="49" fontId="178" fillId="38" borderId="130" xfId="0" applyNumberFormat="1" applyFont="1" applyFill="1" applyBorder="1" applyAlignment="1">
      <alignment horizontal="center" vertical="center" wrapText="1"/>
    </xf>
    <xf numFmtId="9" fontId="189" fillId="38" borderId="118" xfId="0" applyNumberFormat="1" applyFont="1" applyFill="1" applyBorder="1" applyAlignment="1">
      <alignment horizontal="center" vertical="center"/>
    </xf>
    <xf numFmtId="49" fontId="178" fillId="38" borderId="130" xfId="0" applyNumberFormat="1" applyFont="1" applyFill="1" applyBorder="1" applyAlignment="1">
      <alignment horizontal="center" vertical="center"/>
    </xf>
    <xf numFmtId="49" fontId="180" fillId="38" borderId="130" xfId="0" applyNumberFormat="1" applyFont="1" applyFill="1" applyBorder="1" applyAlignment="1">
      <alignment horizontal="center" vertical="center" wrapText="1"/>
    </xf>
    <xf numFmtId="0" fontId="178" fillId="38" borderId="119" xfId="0" applyFont="1" applyFill="1" applyBorder="1" applyAlignment="1">
      <alignment horizontal="center" vertical="center" wrapText="1"/>
    </xf>
    <xf numFmtId="0" fontId="178" fillId="38" borderId="116" xfId="0" applyFont="1" applyFill="1" applyBorder="1" applyAlignment="1">
      <alignment horizontal="center" vertical="center" wrapText="1"/>
    </xf>
    <xf numFmtId="0" fontId="178" fillId="38" borderId="116" xfId="0" applyFont="1" applyFill="1" applyBorder="1" applyAlignment="1">
      <alignment horizontal="center" vertical="center"/>
    </xf>
    <xf numFmtId="9" fontId="189" fillId="38" borderId="120" xfId="0" applyNumberFormat="1" applyFont="1" applyFill="1" applyBorder="1" applyAlignment="1">
      <alignment horizontal="center" vertical="center"/>
    </xf>
    <xf numFmtId="49" fontId="178" fillId="38" borderId="131" xfId="0" applyNumberFormat="1" applyFont="1" applyFill="1" applyBorder="1" applyAlignment="1">
      <alignment horizontal="center" vertical="center"/>
    </xf>
    <xf numFmtId="0" fontId="179" fillId="38" borderId="119" xfId="0" applyFont="1" applyFill="1" applyBorder="1" applyAlignment="1">
      <alignment horizontal="center" vertical="center" wrapText="1"/>
    </xf>
    <xf numFmtId="9" fontId="189" fillId="38" borderId="120" xfId="0" applyNumberFormat="1" applyFont="1" applyFill="1" applyBorder="1" applyAlignment="1">
      <alignment horizontal="center" vertical="center" wrapText="1"/>
    </xf>
    <xf numFmtId="170" fontId="194" fillId="0" borderId="114" xfId="1" applyNumberFormat="1" applyFont="1" applyBorder="1" applyAlignment="1">
      <alignment horizontal="center"/>
    </xf>
    <xf numFmtId="0" fontId="23" fillId="0" borderId="114" xfId="2" applyFont="1" applyBorder="1"/>
    <xf numFmtId="181" fontId="15" fillId="0" borderId="117" xfId="0" applyNumberFormat="1" applyFont="1" applyBorder="1" applyAlignment="1">
      <alignment horizontal="left"/>
    </xf>
    <xf numFmtId="38" fontId="194" fillId="0" borderId="114" xfId="22" applyNumberFormat="1" applyFont="1" applyBorder="1" applyAlignment="1">
      <alignment horizontal="center"/>
    </xf>
    <xf numFmtId="38" fontId="15" fillId="0" borderId="114" xfId="22" applyNumberFormat="1" applyFont="1" applyBorder="1" applyAlignment="1">
      <alignment horizontal="center"/>
    </xf>
    <xf numFmtId="8" fontId="15" fillId="0" borderId="114" xfId="0" applyNumberFormat="1" applyFont="1" applyBorder="1" applyAlignment="1">
      <alignment horizontal="center"/>
    </xf>
    <xf numFmtId="164" fontId="15" fillId="0" borderId="114" xfId="22" applyNumberFormat="1" applyFont="1" applyBorder="1" applyAlignment="1">
      <alignment horizontal="center"/>
    </xf>
    <xf numFmtId="8" fontId="180" fillId="0" borderId="114" xfId="0" applyNumberFormat="1" applyFont="1" applyBorder="1" applyAlignment="1">
      <alignment horizontal="center"/>
    </xf>
    <xf numFmtId="164" fontId="15" fillId="0" borderId="126" xfId="22" applyNumberFormat="1" applyFont="1" applyBorder="1" applyAlignment="1">
      <alignment horizontal="center"/>
    </xf>
    <xf numFmtId="6" fontId="183" fillId="0" borderId="114" xfId="0" applyNumberFormat="1" applyFont="1" applyBorder="1" applyAlignment="1">
      <alignment horizontal="center"/>
    </xf>
    <xf numFmtId="0" fontId="24" fillId="0" borderId="117" xfId="14" applyFont="1" applyBorder="1"/>
    <xf numFmtId="3" fontId="194" fillId="0" borderId="114" xfId="14" applyNumberFormat="1" applyFont="1" applyBorder="1" applyAlignment="1">
      <alignment horizontal="center"/>
    </xf>
    <xf numFmtId="8" fontId="15" fillId="0" borderId="114" xfId="0" applyNumberFormat="1" applyFont="1" applyBorder="1"/>
    <xf numFmtId="6" fontId="15" fillId="0" borderId="114" xfId="0" applyNumberFormat="1" applyFont="1" applyBorder="1"/>
    <xf numFmtId="0" fontId="24" fillId="0" borderId="121" xfId="14" applyFont="1" applyBorder="1"/>
    <xf numFmtId="3" fontId="194" fillId="0" borderId="122" xfId="14" applyNumberFormat="1" applyFont="1" applyBorder="1" applyAlignment="1">
      <alignment horizontal="center"/>
    </xf>
    <xf numFmtId="8" fontId="15" fillId="0" borderId="122" xfId="0" applyNumberFormat="1" applyFont="1" applyBorder="1"/>
    <xf numFmtId="6" fontId="15" fillId="0" borderId="122" xfId="0" applyNumberFormat="1" applyFont="1" applyBorder="1"/>
    <xf numFmtId="3" fontId="15" fillId="0" borderId="110" xfId="0" applyNumberFormat="1" applyFont="1" applyBorder="1" applyAlignment="1">
      <alignment horizontal="center"/>
    </xf>
    <xf numFmtId="0" fontId="181" fillId="8" borderId="96" xfId="0" applyFont="1" applyFill="1" applyBorder="1" applyAlignment="1">
      <alignment horizontal="left"/>
    </xf>
    <xf numFmtId="3" fontId="181" fillId="8" borderId="98" xfId="0" applyNumberFormat="1" applyFont="1" applyFill="1" applyBorder="1"/>
    <xf numFmtId="3" fontId="194" fillId="0" borderId="118" xfId="0" applyNumberFormat="1" applyFont="1" applyBorder="1"/>
    <xf numFmtId="0" fontId="181" fillId="8" borderId="96" xfId="0" applyFont="1" applyFill="1" applyBorder="1"/>
    <xf numFmtId="178" fontId="181" fillId="8" borderId="96" xfId="0" applyNumberFormat="1" applyFont="1" applyFill="1" applyBorder="1"/>
    <xf numFmtId="0" fontId="15" fillId="0" borderId="117" xfId="0" applyFont="1" applyBorder="1" applyAlignment="1">
      <alignment horizontal="right"/>
    </xf>
    <xf numFmtId="171" fontId="15" fillId="0" borderId="118" xfId="22" applyNumberFormat="1" applyFont="1" applyFill="1" applyBorder="1" applyAlignment="1">
      <alignment horizontal="center"/>
    </xf>
    <xf numFmtId="282" fontId="15" fillId="0" borderId="117" xfId="0" applyNumberFormat="1" applyFont="1" applyBorder="1" applyAlignment="1">
      <alignment horizontal="right"/>
    </xf>
    <xf numFmtId="281" fontId="194" fillId="0" borderId="117" xfId="0" applyNumberFormat="1" applyFont="1" applyBorder="1" applyAlignment="1">
      <alignment horizontal="right"/>
    </xf>
    <xf numFmtId="280" fontId="194" fillId="0" borderId="119" xfId="0" applyNumberFormat="1" applyFont="1" applyBorder="1"/>
    <xf numFmtId="171" fontId="15" fillId="0" borderId="120" xfId="22" applyNumberFormat="1" applyFont="1" applyFill="1" applyBorder="1" applyAlignment="1">
      <alignment horizontal="center"/>
    </xf>
    <xf numFmtId="168" fontId="15" fillId="11" borderId="67" xfId="22" applyNumberFormat="1" applyFont="1" applyFill="1" applyBorder="1" applyAlignment="1">
      <alignment horizontal="center"/>
    </xf>
    <xf numFmtId="261" fontId="15" fillId="0" borderId="125" xfId="0" applyNumberFormat="1" applyFont="1" applyBorder="1" applyAlignment="1">
      <alignment horizontal="left"/>
    </xf>
    <xf numFmtId="5" fontId="15" fillId="0" borderId="132" xfId="22" applyNumberFormat="1" applyFont="1" applyBorder="1" applyAlignment="1">
      <alignment horizontal="center"/>
    </xf>
    <xf numFmtId="261" fontId="15" fillId="0" borderId="114" xfId="0" applyNumberFormat="1" applyFont="1" applyBorder="1" applyAlignment="1">
      <alignment horizontal="left"/>
    </xf>
    <xf numFmtId="5" fontId="23" fillId="0" borderId="114" xfId="22" applyNumberFormat="1" applyFont="1" applyBorder="1" applyAlignment="1">
      <alignment horizontal="center"/>
    </xf>
    <xf numFmtId="5" fontId="23" fillId="0" borderId="114" xfId="22" applyNumberFormat="1" applyFont="1" applyBorder="1" applyAlignment="1">
      <alignment horizontal="center"/>
    </xf>
    <xf numFmtId="261" fontId="23" fillId="0" borderId="124" xfId="0" applyNumberFormat="1" applyFont="1" applyBorder="1" applyAlignment="1">
      <alignment horizontal="left"/>
    </xf>
    <xf numFmtId="5" fontId="15" fillId="0" borderId="114" xfId="22" applyNumberFormat="1" applyFont="1" applyBorder="1" applyAlignment="1">
      <alignment horizontal="center"/>
    </xf>
    <xf numFmtId="7" fontId="15" fillId="0" borderId="114" xfId="22" applyNumberFormat="1" applyFont="1" applyBorder="1" applyAlignment="1">
      <alignment horizontal="center"/>
    </xf>
    <xf numFmtId="168" fontId="23" fillId="3" borderId="91" xfId="22" applyNumberFormat="1" applyFont="1" applyFill="1" applyBorder="1" applyAlignment="1">
      <alignment horizontal="center"/>
    </xf>
    <xf numFmtId="0" fontId="181" fillId="8" borderId="92" xfId="2" applyFont="1" applyFill="1" applyBorder="1"/>
    <xf numFmtId="169" fontId="181" fillId="8" borderId="120" xfId="2" applyNumberFormat="1" applyFont="1" applyFill="1" applyBorder="1"/>
    <xf numFmtId="268" fontId="15" fillId="0" borderId="114" xfId="0" applyNumberFormat="1" applyFont="1" applyBorder="1" applyAlignment="1">
      <alignment horizontal="center"/>
    </xf>
    <xf numFmtId="5" fontId="15" fillId="0" borderId="94" xfId="22" applyNumberFormat="1" applyFont="1" applyFill="1" applyBorder="1" applyAlignment="1">
      <alignment horizontal="center"/>
    </xf>
    <xf numFmtId="273" fontId="15" fillId="0" borderId="114" xfId="0" applyNumberFormat="1" applyFont="1" applyBorder="1" applyAlignment="1">
      <alignment horizontal="center"/>
    </xf>
    <xf numFmtId="262" fontId="194" fillId="0" borderId="114" xfId="0" applyNumberFormat="1" applyFont="1" applyBorder="1" applyAlignment="1">
      <alignment horizontal="center"/>
    </xf>
    <xf numFmtId="0" fontId="180" fillId="0" borderId="114" xfId="0" applyFont="1" applyBorder="1" applyAlignment="1">
      <alignment horizontal="center" wrapText="1"/>
    </xf>
    <xf numFmtId="5" fontId="194" fillId="0" borderId="67" xfId="22" applyNumberFormat="1" applyFont="1" applyFill="1" applyBorder="1" applyAlignment="1">
      <alignment horizontal="center"/>
    </xf>
    <xf numFmtId="284" fontId="194" fillId="0" borderId="114" xfId="0" applyNumberFormat="1" applyFont="1" applyBorder="1" applyAlignment="1">
      <alignment horizontal="center"/>
    </xf>
    <xf numFmtId="263" fontId="15" fillId="0" borderId="114" xfId="0" applyNumberFormat="1" applyFont="1" applyBorder="1" applyAlignment="1">
      <alignment horizontal="center"/>
    </xf>
    <xf numFmtId="0" fontId="180" fillId="0" borderId="114" xfId="0" applyFont="1" applyBorder="1" applyAlignment="1">
      <alignment horizontal="center"/>
    </xf>
    <xf numFmtId="5" fontId="194" fillId="0" borderId="114" xfId="22" applyNumberFormat="1" applyFont="1" applyFill="1" applyBorder="1" applyAlignment="1">
      <alignment horizontal="center"/>
    </xf>
    <xf numFmtId="264" fontId="194" fillId="0" borderId="114" xfId="0" applyNumberFormat="1" applyFont="1" applyBorder="1" applyAlignment="1">
      <alignment horizontal="center"/>
    </xf>
    <xf numFmtId="5" fontId="15" fillId="0" borderId="114" xfId="22" applyNumberFormat="1" applyFont="1" applyFill="1" applyBorder="1" applyAlignment="1">
      <alignment horizontal="center"/>
    </xf>
    <xf numFmtId="272" fontId="194" fillId="0" borderId="114" xfId="0" applyNumberFormat="1" applyFont="1" applyBorder="1" applyAlignment="1">
      <alignment horizontal="center"/>
    </xf>
    <xf numFmtId="5" fontId="180" fillId="0" borderId="114" xfId="22" applyNumberFormat="1" applyFont="1" applyFill="1" applyBorder="1" applyAlignment="1">
      <alignment horizontal="center"/>
    </xf>
    <xf numFmtId="10" fontId="180" fillId="0" borderId="114" xfId="1" applyNumberFormat="1" applyFont="1" applyBorder="1" applyAlignment="1">
      <alignment horizontal="center"/>
    </xf>
    <xf numFmtId="263" fontId="194" fillId="0" borderId="114" xfId="0" applyNumberFormat="1" applyFont="1" applyBorder="1" applyAlignment="1">
      <alignment horizontal="center"/>
    </xf>
    <xf numFmtId="269" fontId="194" fillId="0" borderId="114" xfId="0" applyNumberFormat="1" applyFont="1" applyBorder="1" applyAlignment="1">
      <alignment horizontal="center"/>
    </xf>
    <xf numFmtId="271" fontId="194" fillId="0" borderId="114" xfId="0" applyNumberFormat="1" applyFont="1" applyBorder="1" applyAlignment="1">
      <alignment horizontal="center"/>
    </xf>
    <xf numFmtId="266" fontId="194" fillId="0" borderId="114" xfId="0" applyNumberFormat="1" applyFont="1" applyBorder="1" applyAlignment="1">
      <alignment horizontal="center"/>
    </xf>
    <xf numFmtId="185" fontId="15" fillId="0" borderId="117" xfId="0" applyNumberFormat="1" applyFont="1" applyBorder="1"/>
    <xf numFmtId="276" fontId="194" fillId="0" borderId="114" xfId="0" applyNumberFormat="1" applyFont="1" applyBorder="1" applyAlignment="1">
      <alignment horizontal="center"/>
    </xf>
    <xf numFmtId="270" fontId="180" fillId="0" borderId="122" xfId="1" applyNumberFormat="1" applyFont="1" applyBorder="1" applyAlignment="1">
      <alignment horizontal="center"/>
    </xf>
    <xf numFmtId="5" fontId="194" fillId="0" borderId="122" xfId="22" applyNumberFormat="1" applyFont="1" applyFill="1" applyBorder="1" applyAlignment="1">
      <alignment horizontal="center"/>
    </xf>
    <xf numFmtId="5" fontId="15" fillId="0" borderId="122" xfId="22" applyNumberFormat="1" applyFont="1" applyBorder="1" applyAlignment="1">
      <alignment horizontal="center"/>
    </xf>
    <xf numFmtId="0" fontId="23" fillId="3" borderId="110" xfId="0" applyFont="1" applyFill="1" applyBorder="1"/>
    <xf numFmtId="0" fontId="180" fillId="3" borderId="110" xfId="0" applyFont="1" applyFill="1" applyBorder="1"/>
    <xf numFmtId="0" fontId="23" fillId="3" borderId="93" xfId="0" applyFont="1" applyFill="1" applyBorder="1"/>
    <xf numFmtId="170" fontId="23" fillId="3" borderId="95" xfId="1" applyNumberFormat="1" applyFont="1" applyFill="1" applyBorder="1" applyAlignment="1">
      <alignment horizontal="center"/>
    </xf>
    <xf numFmtId="0" fontId="23" fillId="3" borderId="117" xfId="0" applyFont="1" applyFill="1" applyBorder="1"/>
    <xf numFmtId="170" fontId="23" fillId="3" borderId="118" xfId="1" applyNumberFormat="1" applyFont="1" applyFill="1" applyBorder="1" applyAlignment="1">
      <alignment horizontal="center"/>
    </xf>
    <xf numFmtId="293" fontId="194" fillId="3" borderId="119" xfId="0" applyNumberFormat="1" applyFont="1" applyFill="1" applyBorder="1" applyAlignment="1">
      <alignment horizontal="left"/>
    </xf>
    <xf numFmtId="6" fontId="23" fillId="3" borderId="120" xfId="1" applyNumberFormat="1" applyFont="1" applyFill="1" applyBorder="1" applyAlignment="1">
      <alignment horizontal="center"/>
    </xf>
    <xf numFmtId="274" fontId="194" fillId="3" borderId="117" xfId="0" applyNumberFormat="1" applyFont="1" applyFill="1" applyBorder="1" applyAlignment="1">
      <alignment horizontal="left"/>
    </xf>
    <xf numFmtId="178" fontId="181" fillId="6" borderId="81" xfId="0" applyNumberFormat="1" applyFont="1" applyFill="1" applyBorder="1"/>
    <xf numFmtId="0" fontId="183" fillId="0" borderId="77" xfId="0" applyFont="1" applyBorder="1" applyAlignment="1">
      <alignment horizontal="left"/>
    </xf>
    <xf numFmtId="0" fontId="183" fillId="0" borderId="92" xfId="0" applyFont="1" applyBorder="1" applyAlignment="1">
      <alignment horizontal="center"/>
    </xf>
    <xf numFmtId="0" fontId="183" fillId="0" borderId="78" xfId="0" applyFont="1" applyBorder="1" applyAlignment="1">
      <alignment horizontal="center"/>
    </xf>
    <xf numFmtId="6" fontId="183" fillId="0" borderId="114" xfId="0" applyNumberFormat="1" applyFont="1" applyBorder="1" applyAlignment="1">
      <alignment horizontal="center" vertical="center"/>
    </xf>
    <xf numFmtId="183" fontId="23" fillId="0" borderId="63" xfId="0" applyNumberFormat="1" applyFont="1" applyBorder="1" applyAlignment="1">
      <alignment horizontal="right"/>
    </xf>
    <xf numFmtId="184" fontId="15" fillId="0" borderId="121" xfId="0" applyNumberFormat="1" applyFont="1" applyBorder="1" applyAlignment="1">
      <alignment horizontal="right"/>
    </xf>
    <xf numFmtId="5" fontId="23" fillId="0" borderId="67" xfId="0" applyNumberFormat="1" applyFont="1" applyBorder="1" applyAlignment="1">
      <alignment horizontal="center" vertical="center"/>
    </xf>
    <xf numFmtId="0" fontId="181" fillId="0" borderId="77" xfId="0" applyFont="1" applyBorder="1" applyAlignment="1">
      <alignment horizontal="center"/>
    </xf>
    <xf numFmtId="0" fontId="181" fillId="0" borderId="78" xfId="0" applyFont="1" applyBorder="1" applyAlignment="1">
      <alignment horizontal="center"/>
    </xf>
    <xf numFmtId="0" fontId="183" fillId="0" borderId="102" xfId="0" applyFont="1" applyBorder="1" applyAlignment="1">
      <alignment horizontal="center"/>
    </xf>
    <xf numFmtId="0" fontId="15" fillId="0" borderId="99" xfId="0" applyFont="1" applyBorder="1"/>
    <xf numFmtId="37" fontId="15" fillId="0" borderId="100" xfId="22" applyNumberFormat="1" applyFont="1" applyBorder="1" applyAlignment="1">
      <alignment horizontal="center"/>
    </xf>
    <xf numFmtId="37" fontId="15" fillId="0" borderId="100" xfId="22" applyNumberFormat="1" applyFont="1" applyBorder="1"/>
    <xf numFmtId="176" fontId="194" fillId="0" borderId="133" xfId="0" applyNumberFormat="1" applyFont="1" applyBorder="1" applyAlignment="1" applyProtection="1">
      <alignment horizontal="left"/>
      <protection locked="0"/>
    </xf>
    <xf numFmtId="5" fontId="15" fillId="0" borderId="134" xfId="22" applyNumberFormat="1" applyFont="1" applyBorder="1" applyAlignment="1">
      <alignment horizontal="center"/>
    </xf>
    <xf numFmtId="37" fontId="15" fillId="0" borderId="134" xfId="22" applyNumberFormat="1" applyFont="1" applyBorder="1"/>
    <xf numFmtId="0" fontId="15" fillId="0" borderId="77" xfId="0" applyFont="1" applyBorder="1"/>
    <xf numFmtId="0" fontId="15" fillId="0" borderId="133" xfId="0" applyFont="1" applyBorder="1"/>
    <xf numFmtId="37" fontId="15" fillId="0" borderId="134" xfId="22" applyNumberFormat="1" applyFont="1" applyBorder="1" applyAlignment="1">
      <alignment horizontal="center"/>
    </xf>
    <xf numFmtId="0" fontId="181" fillId="6" borderId="77" xfId="0" applyFont="1" applyFill="1" applyBorder="1" applyAlignment="1">
      <alignment horizontal="center"/>
    </xf>
    <xf numFmtId="0" fontId="181" fillId="6" borderId="92" xfId="0" applyFont="1" applyFill="1" applyBorder="1" applyAlignment="1">
      <alignment horizontal="center"/>
    </xf>
    <xf numFmtId="0" fontId="181" fillId="6" borderId="78" xfId="0" applyFont="1" applyFill="1" applyBorder="1" applyAlignment="1">
      <alignment horizontal="center"/>
    </xf>
    <xf numFmtId="0" fontId="15" fillId="0" borderId="135" xfId="0" applyFont="1" applyBorder="1" applyAlignment="1">
      <alignment horizontal="right"/>
    </xf>
    <xf numFmtId="169" fontId="180" fillId="0" borderId="130" xfId="18" applyNumberFormat="1" applyFont="1" applyBorder="1" applyAlignment="1">
      <alignment horizontal="center"/>
    </xf>
    <xf numFmtId="169" fontId="180" fillId="0" borderId="136" xfId="0" applyNumberFormat="1" applyFont="1" applyBorder="1" applyAlignment="1">
      <alignment horizontal="right"/>
    </xf>
    <xf numFmtId="169" fontId="180" fillId="0" borderId="131" xfId="0" applyNumberFormat="1" applyFont="1" applyBorder="1" applyAlignment="1">
      <alignment horizontal="center"/>
    </xf>
    <xf numFmtId="0" fontId="181" fillId="6" borderId="96" xfId="0" applyFont="1" applyFill="1" applyBorder="1" applyAlignment="1">
      <alignment horizontal="center"/>
    </xf>
    <xf numFmtId="0" fontId="181" fillId="6" borderId="97" xfId="0" applyFont="1" applyFill="1" applyBorder="1" applyAlignment="1">
      <alignment horizontal="center"/>
    </xf>
    <xf numFmtId="0" fontId="181" fillId="6" borderId="98" xfId="0" applyFont="1" applyFill="1" applyBorder="1" applyAlignment="1">
      <alignment horizontal="center"/>
    </xf>
    <xf numFmtId="0" fontId="15" fillId="0" borderId="135" xfId="0" applyFont="1" applyBorder="1"/>
    <xf numFmtId="174" fontId="15" fillId="0" borderId="130" xfId="1" applyNumberFormat="1" applyFont="1" applyFill="1" applyBorder="1" applyAlignment="1">
      <alignment horizontal="center"/>
    </xf>
    <xf numFmtId="0" fontId="23" fillId="0" borderId="135" xfId="0" applyFont="1" applyBorder="1"/>
    <xf numFmtId="9" fontId="23" fillId="0" borderId="130" xfId="0" applyNumberFormat="1" applyFont="1" applyBorder="1" applyAlignment="1">
      <alignment horizontal="center"/>
    </xf>
    <xf numFmtId="9" fontId="15" fillId="0" borderId="130" xfId="0" applyNumberFormat="1" applyFont="1" applyBorder="1" applyAlignment="1">
      <alignment horizontal="center"/>
    </xf>
    <xf numFmtId="10" fontId="15" fillId="0" borderId="130" xfId="0" applyNumberFormat="1" applyFont="1" applyBorder="1" applyAlignment="1">
      <alignment horizontal="center"/>
    </xf>
    <xf numFmtId="14" fontId="23" fillId="9" borderId="119" xfId="0" applyNumberFormat="1" applyFont="1" applyFill="1" applyBorder="1" applyAlignment="1">
      <alignment horizontal="right" vertical="center"/>
    </xf>
    <xf numFmtId="14" fontId="23" fillId="9" borderId="116" xfId="1347" applyNumberFormat="1" applyFont="1" applyFill="1" applyBorder="1"/>
    <xf numFmtId="14" fontId="23" fillId="9" borderId="116" xfId="1347" applyNumberFormat="1" applyFont="1" applyFill="1" applyBorder="1" applyAlignment="1">
      <alignment horizontal="center"/>
    </xf>
    <xf numFmtId="14" fontId="23" fillId="9" borderId="120" xfId="1347" applyNumberFormat="1" applyFont="1" applyFill="1" applyBorder="1"/>
    <xf numFmtId="175" fontId="183" fillId="0" borderId="114" xfId="0" applyNumberFormat="1" applyFont="1" applyBorder="1"/>
    <xf numFmtId="175" fontId="183" fillId="0" borderId="129" xfId="0" applyNumberFormat="1" applyFont="1" applyBorder="1"/>
    <xf numFmtId="175" fontId="180" fillId="0" borderId="114" xfId="0" applyNumberFormat="1" applyFont="1" applyBorder="1"/>
    <xf numFmtId="175" fontId="180" fillId="0" borderId="114" xfId="0" applyNumberFormat="1" applyFont="1" applyBorder="1" applyAlignment="1">
      <alignment horizontal="center"/>
    </xf>
    <xf numFmtId="0" fontId="180" fillId="9" borderId="79" xfId="0" applyFont="1" applyFill="1" applyBorder="1"/>
    <xf numFmtId="10" fontId="180" fillId="9" borderId="96" xfId="0" applyNumberFormat="1" applyFont="1" applyFill="1" applyBorder="1"/>
    <xf numFmtId="170" fontId="23" fillId="9" borderId="110" xfId="0" applyNumberFormat="1" applyFont="1" applyFill="1" applyBorder="1"/>
    <xf numFmtId="170" fontId="182" fillId="9" borderId="110" xfId="0" applyNumberFormat="1" applyFont="1" applyFill="1" applyBorder="1"/>
    <xf numFmtId="9" fontId="23" fillId="0" borderId="110" xfId="0" applyNumberFormat="1" applyFont="1" applyBorder="1" applyAlignment="1">
      <alignment horizontal="center"/>
    </xf>
    <xf numFmtId="38" fontId="180" fillId="0" borderId="114" xfId="0" applyNumberFormat="1" applyFont="1" applyBorder="1"/>
    <xf numFmtId="5" fontId="190" fillId="0" borderId="114" xfId="0" applyNumberFormat="1" applyFont="1" applyBorder="1"/>
    <xf numFmtId="5" fontId="180" fillId="0" borderId="114" xfId="0" applyNumberFormat="1" applyFont="1" applyBorder="1"/>
    <xf numFmtId="5" fontId="194" fillId="0" borderId="114" xfId="0" applyNumberFormat="1" applyFont="1" applyBorder="1"/>
    <xf numFmtId="0" fontId="190" fillId="0" borderId="114" xfId="0" applyFont="1" applyBorder="1"/>
    <xf numFmtId="38" fontId="190" fillId="0" borderId="114" xfId="0" applyNumberFormat="1" applyFont="1" applyBorder="1"/>
    <xf numFmtId="38" fontId="194" fillId="0" borderId="114" xfId="0" applyNumberFormat="1" applyFont="1" applyBorder="1"/>
    <xf numFmtId="5" fontId="182" fillId="0" borderId="114" xfId="0" applyNumberFormat="1" applyFont="1" applyBorder="1"/>
    <xf numFmtId="38" fontId="182" fillId="0" borderId="114" xfId="0" applyNumberFormat="1" applyFont="1" applyBorder="1"/>
    <xf numFmtId="5" fontId="15" fillId="0" borderId="114" xfId="0" applyNumberFormat="1" applyFont="1" applyBorder="1"/>
    <xf numFmtId="0" fontId="180" fillId="0" borderId="114" xfId="0" applyFont="1" applyBorder="1"/>
    <xf numFmtId="6" fontId="190" fillId="0" borderId="114" xfId="0" applyNumberFormat="1" applyFont="1" applyBorder="1"/>
    <xf numFmtId="169" fontId="180" fillId="0" borderId="114" xfId="0" applyNumberFormat="1" applyFont="1" applyBorder="1"/>
    <xf numFmtId="5" fontId="190" fillId="0" borderId="114" xfId="0" applyNumberFormat="1" applyFont="1" applyBorder="1" applyAlignment="1">
      <alignment horizontal="center" wrapText="1"/>
    </xf>
    <xf numFmtId="38" fontId="180" fillId="0" borderId="122" xfId="0" applyNumberFormat="1" applyFont="1" applyBorder="1"/>
    <xf numFmtId="5" fontId="190" fillId="0" borderId="122" xfId="0" applyNumberFormat="1" applyFont="1" applyBorder="1"/>
    <xf numFmtId="5" fontId="180" fillId="0" borderId="122" xfId="0" applyNumberFormat="1" applyFont="1" applyBorder="1"/>
    <xf numFmtId="0" fontId="180" fillId="0" borderId="119" xfId="0" applyFont="1" applyBorder="1"/>
    <xf numFmtId="6" fontId="180" fillId="0" borderId="128" xfId="0" applyNumberFormat="1" applyFont="1" applyBorder="1"/>
    <xf numFmtId="0" fontId="180" fillId="0" borderId="129" xfId="0" applyFont="1" applyBorder="1"/>
    <xf numFmtId="0" fontId="180" fillId="0" borderId="124" xfId="0" applyFont="1" applyBorder="1"/>
    <xf numFmtId="6" fontId="180" fillId="0" borderId="135" xfId="0" applyNumberFormat="1" applyFont="1" applyBorder="1"/>
    <xf numFmtId="5" fontId="180" fillId="0" borderId="129" xfId="0" applyNumberFormat="1" applyFont="1" applyBorder="1"/>
    <xf numFmtId="5" fontId="180" fillId="0" borderId="137" xfId="0" applyNumberFormat="1" applyFont="1" applyBorder="1"/>
    <xf numFmtId="5" fontId="180" fillId="4" borderId="129" xfId="0" applyNumberFormat="1" applyFont="1" applyFill="1" applyBorder="1"/>
    <xf numFmtId="5" fontId="180" fillId="4" borderId="114" xfId="0" applyNumberFormat="1" applyFont="1" applyFill="1" applyBorder="1"/>
    <xf numFmtId="0" fontId="180" fillId="0" borderId="136" xfId="0" applyFont="1" applyBorder="1"/>
    <xf numFmtId="6" fontId="180" fillId="0" borderId="131" xfId="0" applyNumberFormat="1" applyFont="1" applyBorder="1"/>
    <xf numFmtId="0" fontId="183" fillId="4" borderId="124" xfId="0" applyFont="1" applyFill="1" applyBorder="1" applyAlignment="1">
      <alignment horizontal="center"/>
    </xf>
    <xf numFmtId="0" fontId="183" fillId="4" borderId="129" xfId="0" applyFont="1" applyFill="1" applyBorder="1" applyAlignment="1">
      <alignment horizontal="center"/>
    </xf>
    <xf numFmtId="6" fontId="180" fillId="4" borderId="114" xfId="0" applyNumberFormat="1" applyFont="1" applyFill="1" applyBorder="1"/>
    <xf numFmtId="169" fontId="180" fillId="4" borderId="114" xfId="0" applyNumberFormat="1" applyFont="1" applyFill="1" applyBorder="1"/>
    <xf numFmtId="0" fontId="180" fillId="4" borderId="114" xfId="0" applyFont="1" applyFill="1" applyBorder="1"/>
    <xf numFmtId="37" fontId="183" fillId="4" borderId="114" xfId="0" applyNumberFormat="1" applyFont="1" applyFill="1" applyBorder="1"/>
    <xf numFmtId="37" fontId="183" fillId="0" borderId="129" xfId="0" applyNumberFormat="1" applyFont="1" applyBorder="1"/>
    <xf numFmtId="5" fontId="180" fillId="0" borderId="135" xfId="0" applyNumberFormat="1" applyFont="1" applyBorder="1"/>
    <xf numFmtId="5" fontId="180" fillId="0" borderId="126" xfId="0" applyNumberFormat="1" applyFont="1" applyBorder="1"/>
    <xf numFmtId="5" fontId="183" fillId="0" borderId="126" xfId="0" applyNumberFormat="1" applyFont="1" applyBorder="1"/>
    <xf numFmtId="37" fontId="183" fillId="0" borderId="114" xfId="0" applyNumberFormat="1" applyFont="1" applyBorder="1"/>
    <xf numFmtId="10" fontId="180" fillId="0" borderId="135" xfId="0" applyNumberFormat="1" applyFont="1" applyBorder="1"/>
    <xf numFmtId="5" fontId="183" fillId="4" borderId="114" xfId="0" applyNumberFormat="1" applyFont="1" applyFill="1" applyBorder="1"/>
    <xf numFmtId="5" fontId="183" fillId="0" borderId="114" xfId="0" applyNumberFormat="1" applyFont="1" applyBorder="1"/>
    <xf numFmtId="10" fontId="183" fillId="0" borderId="124" xfId="0" applyNumberFormat="1" applyFont="1" applyBorder="1"/>
    <xf numFmtId="0" fontId="183" fillId="4" borderId="114" xfId="0" applyFont="1" applyFill="1" applyBorder="1" applyAlignment="1">
      <alignment horizontal="center" wrapText="1"/>
    </xf>
    <xf numFmtId="0" fontId="183" fillId="4" borderId="114" xfId="0" applyFont="1" applyFill="1" applyBorder="1" applyAlignment="1">
      <alignment horizontal="center" vertical="center" wrapText="1"/>
    </xf>
    <xf numFmtId="0" fontId="183" fillId="0" borderId="114" xfId="0" applyFont="1" applyBorder="1" applyAlignment="1">
      <alignment horizontal="center" wrapText="1"/>
    </xf>
    <xf numFmtId="0" fontId="23" fillId="0" borderId="118" xfId="2" applyFont="1" applyBorder="1"/>
    <xf numFmtId="6" fontId="15" fillId="0" borderId="114" xfId="0" applyNumberFormat="1" applyFont="1" applyBorder="1" applyAlignment="1">
      <alignment horizontal="center"/>
    </xf>
    <xf numFmtId="164" fontId="15" fillId="0" borderId="118" xfId="22" applyNumberFormat="1" applyFont="1" applyBorder="1" applyAlignment="1">
      <alignment horizontal="center"/>
    </xf>
    <xf numFmtId="6" fontId="183" fillId="0" borderId="118" xfId="0" applyNumberFormat="1" applyFont="1" applyBorder="1" applyAlignment="1">
      <alignment horizontal="center"/>
    </xf>
    <xf numFmtId="0" fontId="181" fillId="32" borderId="79" xfId="0" applyFont="1" applyFill="1" applyBorder="1" applyAlignment="1">
      <alignment horizontal="center"/>
    </xf>
    <xf numFmtId="0" fontId="181" fillId="32" borderId="80" xfId="0" applyFont="1" applyFill="1" applyBorder="1" applyAlignment="1">
      <alignment horizontal="center"/>
    </xf>
    <xf numFmtId="5" fontId="15" fillId="11" borderId="114" xfId="22" applyNumberFormat="1" applyFont="1" applyFill="1" applyBorder="1" applyAlignment="1">
      <alignment horizontal="center"/>
    </xf>
    <xf numFmtId="7" fontId="15" fillId="11" borderId="114" xfId="22" applyNumberFormat="1" applyFont="1" applyFill="1" applyBorder="1" applyAlignment="1">
      <alignment horizontal="center"/>
    </xf>
    <xf numFmtId="176" fontId="15" fillId="0" borderId="133" xfId="0" applyNumberFormat="1" applyFont="1" applyBorder="1" applyAlignment="1" applyProtection="1">
      <alignment horizontal="left"/>
      <protection locked="0"/>
    </xf>
    <xf numFmtId="168" fontId="15" fillId="0" borderId="132" xfId="22" applyNumberFormat="1" applyFont="1" applyBorder="1" applyAlignment="1">
      <alignment horizontal="center"/>
    </xf>
    <xf numFmtId="8" fontId="194" fillId="0" borderId="114" xfId="0" applyNumberFormat="1" applyFont="1" applyBorder="1" applyAlignment="1">
      <alignment horizontal="center"/>
    </xf>
    <xf numFmtId="38" fontId="182" fillId="0" borderId="114" xfId="22" applyNumberFormat="1" applyFont="1" applyBorder="1" applyAlignment="1">
      <alignment horizontal="center"/>
    </xf>
    <xf numFmtId="8" fontId="182" fillId="0" borderId="114" xfId="0" applyNumberFormat="1" applyFont="1" applyBorder="1" applyAlignment="1">
      <alignment horizontal="center"/>
    </xf>
    <xf numFmtId="38" fontId="182" fillId="0" borderId="67" xfId="22" applyNumberFormat="1" applyFont="1" applyBorder="1" applyAlignment="1">
      <alignment horizontal="center"/>
    </xf>
    <xf numFmtId="8" fontId="194" fillId="0" borderId="114" xfId="0" applyNumberFormat="1" applyFont="1" applyBorder="1"/>
    <xf numFmtId="8" fontId="194" fillId="0" borderId="122" xfId="0" applyNumberFormat="1" applyFont="1" applyBorder="1"/>
    <xf numFmtId="281" fontId="15" fillId="0" borderId="117" xfId="0" applyNumberFormat="1" applyFont="1" applyBorder="1" applyAlignment="1">
      <alignment horizontal="right"/>
    </xf>
    <xf numFmtId="280" fontId="15" fillId="0" borderId="119" xfId="0" applyNumberFormat="1" applyFont="1" applyBorder="1"/>
    <xf numFmtId="261" fontId="15" fillId="0" borderId="117" xfId="0" applyNumberFormat="1" applyFont="1" applyBorder="1" applyAlignment="1">
      <alignment horizontal="left"/>
    </xf>
    <xf numFmtId="5" fontId="23" fillId="0" borderId="124" xfId="22" applyNumberFormat="1" applyFont="1" applyBorder="1" applyAlignment="1">
      <alignment horizontal="center"/>
    </xf>
    <xf numFmtId="5" fontId="23" fillId="0" borderId="130" xfId="22" applyNumberFormat="1" applyFont="1" applyBorder="1" applyAlignment="1">
      <alignment horizontal="center"/>
    </xf>
    <xf numFmtId="261" fontId="23" fillId="0" borderId="135" xfId="0" applyNumberFormat="1" applyFont="1" applyBorder="1" applyAlignment="1">
      <alignment horizontal="left"/>
    </xf>
    <xf numFmtId="5" fontId="23" fillId="0" borderId="124" xfId="22" applyNumberFormat="1" applyFont="1" applyBorder="1" applyAlignment="1">
      <alignment horizontal="center"/>
    </xf>
    <xf numFmtId="7" fontId="15" fillId="0" borderId="124" xfId="22" applyNumberFormat="1" applyFont="1" applyBorder="1" applyAlignment="1">
      <alignment horizontal="center"/>
    </xf>
    <xf numFmtId="5" fontId="15" fillId="0" borderId="130" xfId="22" applyNumberFormat="1" applyFont="1" applyBorder="1" applyAlignment="1">
      <alignment horizontal="center"/>
    </xf>
    <xf numFmtId="268" fontId="182" fillId="0" borderId="114" xfId="0" applyNumberFormat="1" applyFont="1" applyBorder="1" applyAlignment="1">
      <alignment horizontal="center"/>
    </xf>
    <xf numFmtId="273" fontId="182" fillId="0" borderId="114" xfId="0" applyNumberFormat="1" applyFont="1" applyBorder="1" applyAlignment="1">
      <alignment horizontal="center"/>
    </xf>
    <xf numFmtId="262" fontId="182" fillId="0" borderId="114" xfId="0" applyNumberFormat="1" applyFont="1" applyBorder="1" applyAlignment="1">
      <alignment horizontal="center"/>
    </xf>
    <xf numFmtId="5" fontId="182" fillId="0" borderId="67" xfId="22" applyNumberFormat="1" applyFont="1" applyFill="1" applyBorder="1" applyAlignment="1">
      <alignment horizontal="center"/>
    </xf>
    <xf numFmtId="284" fontId="182" fillId="0" borderId="114" xfId="0" applyNumberFormat="1" applyFont="1" applyBorder="1" applyAlignment="1">
      <alignment horizontal="center"/>
    </xf>
    <xf numFmtId="263" fontId="182" fillId="0" borderId="114" xfId="0" applyNumberFormat="1" applyFont="1" applyBorder="1" applyAlignment="1">
      <alignment horizontal="center"/>
    </xf>
    <xf numFmtId="5" fontId="182" fillId="0" borderId="114" xfId="22" applyNumberFormat="1" applyFont="1" applyFill="1" applyBorder="1" applyAlignment="1">
      <alignment horizontal="center"/>
    </xf>
    <xf numFmtId="264" fontId="182" fillId="0" borderId="114" xfId="0" applyNumberFormat="1" applyFont="1" applyBorder="1" applyAlignment="1">
      <alignment horizontal="center"/>
    </xf>
    <xf numFmtId="272" fontId="182" fillId="0" borderId="114" xfId="0" applyNumberFormat="1" applyFont="1" applyBorder="1" applyAlignment="1">
      <alignment horizontal="center"/>
    </xf>
    <xf numFmtId="269" fontId="182" fillId="0" borderId="114" xfId="0" applyNumberFormat="1" applyFont="1" applyBorder="1" applyAlignment="1">
      <alignment horizontal="center"/>
    </xf>
    <xf numFmtId="271" fontId="182" fillId="0" borderId="114" xfId="0" applyNumberFormat="1" applyFont="1" applyBorder="1" applyAlignment="1">
      <alignment horizontal="center"/>
    </xf>
    <xf numFmtId="266" fontId="182" fillId="0" borderId="114" xfId="0" applyNumberFormat="1" applyFont="1" applyBorder="1" applyAlignment="1">
      <alignment horizontal="center"/>
    </xf>
    <xf numFmtId="276" fontId="187" fillId="0" borderId="114" xfId="0" applyNumberFormat="1" applyFont="1" applyBorder="1" applyAlignment="1">
      <alignment horizontal="center"/>
    </xf>
    <xf numFmtId="5" fontId="182" fillId="0" borderId="122" xfId="22" applyNumberFormat="1" applyFont="1" applyFill="1" applyBorder="1" applyAlignment="1">
      <alignment horizontal="center"/>
    </xf>
    <xf numFmtId="274" fontId="23" fillId="3" borderId="117" xfId="0" applyNumberFormat="1" applyFont="1" applyFill="1" applyBorder="1"/>
    <xf numFmtId="3" fontId="183" fillId="35" borderId="81" xfId="0" applyNumberFormat="1" applyFont="1" applyFill="1" applyBorder="1"/>
    <xf numFmtId="183" fontId="182" fillId="0" borderId="63" xfId="0" applyNumberFormat="1" applyFont="1" applyBorder="1" applyAlignment="1">
      <alignment horizontal="right"/>
    </xf>
    <xf numFmtId="5" fontId="15" fillId="0" borderId="123" xfId="22" applyNumberFormat="1" applyFont="1" applyBorder="1"/>
    <xf numFmtId="5" fontId="23" fillId="0" borderId="67" xfId="0" applyNumberFormat="1" applyFont="1" applyBorder="1"/>
    <xf numFmtId="3" fontId="181" fillId="6" borderId="81" xfId="0" applyNumberFormat="1" applyFont="1" applyFill="1" applyBorder="1"/>
    <xf numFmtId="176" fontId="182" fillId="0" borderId="133" xfId="0" applyNumberFormat="1" applyFont="1" applyBorder="1" applyAlignment="1" applyProtection="1">
      <alignment horizontal="left"/>
      <protection locked="0"/>
    </xf>
    <xf numFmtId="5" fontId="15" fillId="0" borderId="134" xfId="22" applyNumberFormat="1" applyFont="1" applyBorder="1"/>
    <xf numFmtId="175" fontId="183" fillId="0" borderId="114" xfId="0" applyNumberFormat="1" applyFont="1" applyBorder="1" applyAlignment="1">
      <alignment horizontal="center"/>
    </xf>
    <xf numFmtId="170" fontId="194" fillId="9" borderId="110" xfId="0" applyNumberFormat="1" applyFont="1" applyFill="1" applyBorder="1"/>
    <xf numFmtId="5" fontId="180" fillId="0" borderId="110" xfId="0" applyNumberFormat="1" applyFont="1" applyBorder="1"/>
    <xf numFmtId="0" fontId="194" fillId="0" borderId="114" xfId="0" applyFont="1" applyBorder="1"/>
    <xf numFmtId="0" fontId="194" fillId="0" borderId="129" xfId="0" applyFont="1" applyBorder="1"/>
    <xf numFmtId="0" fontId="194" fillId="0" borderId="138" xfId="0" applyFont="1" applyBorder="1"/>
    <xf numFmtId="38" fontId="194" fillId="0" borderId="129" xfId="0" applyNumberFormat="1" applyFont="1" applyBorder="1"/>
    <xf numFmtId="5" fontId="194" fillId="0" borderId="129" xfId="0" applyNumberFormat="1" applyFont="1" applyBorder="1"/>
    <xf numFmtId="5" fontId="194" fillId="0" borderId="138" xfId="0" applyNumberFormat="1" applyFont="1" applyBorder="1"/>
    <xf numFmtId="0" fontId="190" fillId="0" borderId="129" xfId="0" applyFont="1" applyBorder="1"/>
    <xf numFmtId="0" fontId="190" fillId="0" borderId="138" xfId="0" applyFont="1" applyBorder="1"/>
    <xf numFmtId="5" fontId="190" fillId="0" borderId="129" xfId="0" applyNumberFormat="1" applyFont="1" applyBorder="1"/>
    <xf numFmtId="5" fontId="190" fillId="0" borderId="138" xfId="0" applyNumberFormat="1" applyFont="1" applyBorder="1"/>
    <xf numFmtId="0" fontId="202" fillId="0" borderId="114" xfId="0" applyFont="1" applyBorder="1"/>
    <xf numFmtId="169" fontId="190" fillId="0" borderId="114" xfId="0" applyNumberFormat="1" applyFont="1" applyBorder="1"/>
    <xf numFmtId="38" fontId="190" fillId="0" borderId="129" xfId="0" applyNumberFormat="1" applyFont="1" applyBorder="1"/>
    <xf numFmtId="0" fontId="180" fillId="0" borderId="139" xfId="0" applyFont="1" applyBorder="1"/>
    <xf numFmtId="0" fontId="190" fillId="0" borderId="140" xfId="0" applyFont="1" applyBorder="1"/>
    <xf numFmtId="0" fontId="190" fillId="0" borderId="122" xfId="0" applyFont="1" applyBorder="1"/>
    <xf numFmtId="5" fontId="183" fillId="0" borderId="110" xfId="0" applyNumberFormat="1" applyFont="1" applyBorder="1"/>
    <xf numFmtId="6" fontId="183" fillId="4" borderId="114" xfId="0" applyNumberFormat="1" applyFont="1" applyFill="1" applyBorder="1"/>
    <xf numFmtId="6" fontId="180" fillId="0" borderId="116" xfId="0" applyNumberFormat="1" applyFont="1" applyBorder="1"/>
    <xf numFmtId="169" fontId="183" fillId="4" borderId="114" xfId="0" applyNumberFormat="1" applyFont="1" applyFill="1" applyBorder="1"/>
    <xf numFmtId="5" fontId="180" fillId="0" borderId="132" xfId="0" applyNumberFormat="1" applyFont="1" applyBorder="1"/>
    <xf numFmtId="10" fontId="183" fillId="0" borderId="135" xfId="0" applyNumberFormat="1" applyFont="1" applyBorder="1"/>
    <xf numFmtId="0" fontId="183" fillId="4" borderId="114" xfId="0" applyFont="1" applyFill="1" applyBorder="1" applyAlignment="1">
      <alignment wrapText="1"/>
    </xf>
    <xf numFmtId="0" fontId="183" fillId="4" borderId="114" xfId="0" applyFont="1" applyFill="1" applyBorder="1" applyAlignment="1">
      <alignment horizontal="center"/>
    </xf>
    <xf numFmtId="169" fontId="180" fillId="0" borderId="124" xfId="0" applyNumberFormat="1" applyFont="1" applyBorder="1"/>
    <xf numFmtId="169" fontId="183" fillId="0" borderId="114" xfId="0" applyNumberFormat="1" applyFont="1" applyBorder="1"/>
    <xf numFmtId="0" fontId="15" fillId="0" borderId="114" xfId="2" applyFont="1" applyBorder="1"/>
    <xf numFmtId="8" fontId="23" fillId="0" borderId="114" xfId="0" applyNumberFormat="1" applyFont="1" applyBorder="1" applyAlignment="1">
      <alignment horizontal="center"/>
    </xf>
    <xf numFmtId="8" fontId="23" fillId="0" borderId="114" xfId="0" applyNumberFormat="1" applyFont="1" applyBorder="1"/>
    <xf numFmtId="8" fontId="23" fillId="0" borderId="122" xfId="0" applyNumberFormat="1" applyFont="1" applyBorder="1"/>
    <xf numFmtId="0" fontId="181" fillId="8" borderId="96" xfId="0" applyFont="1" applyFill="1" applyBorder="1" applyAlignment="1">
      <alignment horizontal="center"/>
    </xf>
    <xf numFmtId="287" fontId="15" fillId="0" borderId="117" xfId="0" applyNumberFormat="1" applyFont="1" applyBorder="1" applyAlignment="1">
      <alignment horizontal="right"/>
    </xf>
    <xf numFmtId="295" fontId="181" fillId="8" borderId="120" xfId="1360" applyNumberFormat="1" applyFont="1" applyFill="1" applyBorder="1"/>
    <xf numFmtId="1" fontId="182" fillId="0" borderId="114" xfId="1360" applyNumberFormat="1" applyFont="1" applyBorder="1" applyAlignment="1">
      <alignment horizontal="center"/>
    </xf>
    <xf numFmtId="0" fontId="183" fillId="35" borderId="124" xfId="0" applyFont="1" applyFill="1" applyBorder="1" applyAlignment="1">
      <alignment horizontal="right"/>
    </xf>
    <xf numFmtId="0" fontId="183" fillId="35" borderId="129" xfId="0" applyFont="1" applyFill="1" applyBorder="1" applyAlignment="1">
      <alignment horizontal="right"/>
    </xf>
    <xf numFmtId="178" fontId="183" fillId="35" borderId="114" xfId="0" applyNumberFormat="1" applyFont="1" applyFill="1" applyBorder="1"/>
    <xf numFmtId="0" fontId="183" fillId="0" borderId="114" xfId="0" applyFont="1" applyBorder="1" applyAlignment="1">
      <alignment horizontal="left"/>
    </xf>
    <xf numFmtId="0" fontId="183" fillId="0" borderId="114" xfId="0" applyFont="1" applyBorder="1" applyAlignment="1">
      <alignment horizontal="right"/>
    </xf>
    <xf numFmtId="183" fontId="182" fillId="0" borderId="114" xfId="0" applyNumberFormat="1" applyFont="1" applyBorder="1" applyAlignment="1">
      <alignment horizontal="right"/>
    </xf>
    <xf numFmtId="5" fontId="15" fillId="0" borderId="114" xfId="22" applyNumberFormat="1" applyFont="1" applyBorder="1"/>
    <xf numFmtId="184" fontId="15" fillId="0" borderId="114" xfId="0" applyNumberFormat="1" applyFont="1" applyBorder="1" applyAlignment="1">
      <alignment horizontal="right"/>
    </xf>
    <xf numFmtId="0" fontId="23" fillId="0" borderId="114" xfId="0" applyFont="1" applyBorder="1" applyAlignment="1">
      <alignment horizontal="right"/>
    </xf>
    <xf numFmtId="5" fontId="23" fillId="0" borderId="114" xfId="0" applyNumberFormat="1" applyFont="1" applyBorder="1"/>
    <xf numFmtId="14" fontId="23" fillId="9" borderId="120" xfId="1347" applyNumberFormat="1" applyFont="1" applyFill="1" applyBorder="1" applyAlignment="1">
      <alignment horizontal="center"/>
    </xf>
    <xf numFmtId="5" fontId="180" fillId="0" borderId="66" xfId="0" applyNumberFormat="1" applyFont="1" applyBorder="1"/>
    <xf numFmtId="6" fontId="180" fillId="0" borderId="120" xfId="0" applyNumberFormat="1" applyFont="1" applyBorder="1"/>
    <xf numFmtId="0" fontId="180" fillId="4" borderId="129" xfId="0" applyFont="1" applyFill="1" applyBorder="1"/>
    <xf numFmtId="0" fontId="180" fillId="4" borderId="138" xfId="0" applyFont="1" applyFill="1" applyBorder="1"/>
    <xf numFmtId="6" fontId="180" fillId="0" borderId="126" xfId="0" applyNumberFormat="1" applyFont="1" applyBorder="1"/>
    <xf numFmtId="6" fontId="180" fillId="4" borderId="126" xfId="0" applyNumberFormat="1" applyFont="1" applyFill="1" applyBorder="1"/>
    <xf numFmtId="0" fontId="183" fillId="4" borderId="114" xfId="0" applyFont="1" applyFill="1" applyBorder="1" applyAlignment="1">
      <alignment horizontal="center"/>
    </xf>
    <xf numFmtId="5" fontId="180" fillId="0" borderId="138" xfId="0" applyNumberFormat="1" applyFont="1" applyBorder="1"/>
    <xf numFmtId="10" fontId="180" fillId="0" borderId="114" xfId="0" applyNumberFormat="1" applyFont="1" applyBorder="1"/>
    <xf numFmtId="5" fontId="183" fillId="0" borderId="129" xfId="0" applyNumberFormat="1" applyFont="1" applyBorder="1"/>
    <xf numFmtId="10" fontId="183" fillId="0" borderId="114" xfId="0" applyNumberFormat="1" applyFont="1" applyBorder="1"/>
    <xf numFmtId="175" fontId="183" fillId="0" borderId="114" xfId="0" applyNumberFormat="1" applyFont="1" applyBorder="1" applyAlignment="1">
      <alignment horizontal="right"/>
    </xf>
    <xf numFmtId="10" fontId="180" fillId="4" borderId="114" xfId="0" applyNumberFormat="1" applyFont="1" applyFill="1" applyBorder="1"/>
  </cellXfs>
  <cellStyles count="1361">
    <cellStyle name="$ 0 decimal" xfId="131" xr:uid="{00000000-0005-0000-0000-00009F020000}"/>
    <cellStyle name="$ 1 decimal" xfId="132" xr:uid="{00000000-0005-0000-0000-0000A0020000}"/>
    <cellStyle name="$ 2 decimals" xfId="133" xr:uid="{00000000-0005-0000-0000-0000A1020000}"/>
    <cellStyle name="_%(SignOnly)" xfId="134" xr:uid="{00000000-0005-0000-0000-000000000000}"/>
    <cellStyle name="_%(SignSpaceOnly)" xfId="135" xr:uid="{00000000-0005-0000-0000-000001000000}"/>
    <cellStyle name="_%(SignSpaceOnly)_ControlTables" xfId="136" xr:uid="{00000000-0005-0000-0000-000002000000}"/>
    <cellStyle name="_%(SignSpaceOnly)_ControlTablesI" xfId="137" xr:uid="{00000000-0005-0000-0000-000003000000}"/>
    <cellStyle name="_%(SignSpaceOnly)_Database - Comparables" xfId="138" xr:uid="{00000000-0005-0000-0000-000004000000}"/>
    <cellStyle name="_%(SignSpaceOnly)_DB_Eye" xfId="139" xr:uid="{00000000-0005-0000-0000-000005000000}"/>
    <cellStyle name="_%(SignSpaceOnly)_Exec Summary" xfId="140" xr:uid="{00000000-0005-0000-0000-000006000000}"/>
    <cellStyle name="_%(SignSpaceOnly)_Exec Summary_1" xfId="141" xr:uid="{00000000-0005-0000-0000-000007000000}"/>
    <cellStyle name="_%(SignSpaceOnly)_Sheet1" xfId="142" xr:uid="{00000000-0005-0000-0000-000008000000}"/>
    <cellStyle name="_ARI Base Case July 25 TPS1" xfId="143" xr:uid="{00000000-0005-0000-0000-000009000000}"/>
    <cellStyle name="_Comma" xfId="144" xr:uid="{00000000-0005-0000-0000-00000A000000}"/>
    <cellStyle name="_Comma_3-Yr Eyechart" xfId="145" xr:uid="{00000000-0005-0000-0000-00000B000000}"/>
    <cellStyle name="_Comma_Asset Comparisons" xfId="146" xr:uid="{00000000-0005-0000-0000-00000C000000}"/>
    <cellStyle name="_Comma_Balance Sheet" xfId="147" xr:uid="{00000000-0005-0000-0000-00000D000000}"/>
    <cellStyle name="_Comma_Balance Sheet_ControlTables" xfId="148" xr:uid="{00000000-0005-0000-0000-00000E000000}"/>
    <cellStyle name="_Comma_Balance Sheet_ControlTablesI" xfId="149" xr:uid="{00000000-0005-0000-0000-00000F000000}"/>
    <cellStyle name="_Comma_Balance Sheet_Database - Comparables" xfId="150" xr:uid="{00000000-0005-0000-0000-000010000000}"/>
    <cellStyle name="_Comma_Balance Sheet_DB_Eye" xfId="151" xr:uid="{00000000-0005-0000-0000-000011000000}"/>
    <cellStyle name="_Comma_Balance Sheet_Exec Summary" xfId="152" xr:uid="{00000000-0005-0000-0000-000012000000}"/>
    <cellStyle name="_Comma_Balance Sheet_Existing Debt" xfId="153" xr:uid="{00000000-0005-0000-0000-000013000000}"/>
    <cellStyle name="_Comma_Balance Sheet_Kor-Port_LEQ_6-10-04_CR_Final-Struct_FINAL" xfId="154" xr:uid="{00000000-0005-0000-0000-000014000000}"/>
    <cellStyle name="_Comma_Balance Sheet_Mallard's_Landing_LEQ_8-17-04" xfId="155" xr:uid="{00000000-0005-0000-0000-000015000000}"/>
    <cellStyle name="_Comma_Balance Sheet_Quick Property Input" xfId="156" xr:uid="{00000000-0005-0000-0000-000016000000}"/>
    <cellStyle name="_Comma_Balance Sheet_Sheet1" xfId="157" xr:uid="{00000000-0005-0000-0000-000017000000}"/>
    <cellStyle name="_Comma_Balance Sheet_Sheet1_Data Tape" xfId="158" xr:uid="{00000000-0005-0000-0000-000018000000}"/>
    <cellStyle name="_Comma_Balance Sheet_Sheet1_Deal Assumptions" xfId="159" xr:uid="{00000000-0005-0000-0000-000019000000}"/>
    <cellStyle name="_Comma_Balance Sheet_Sheet1_RE Valuation 2" xfId="160" xr:uid="{00000000-0005-0000-0000-00001A000000}"/>
    <cellStyle name="_Comma_Balance Sheet_Sheet2" xfId="161" xr:uid="{00000000-0005-0000-0000-00001B000000}"/>
    <cellStyle name="_Comma_ControlTables" xfId="162" xr:uid="{00000000-0005-0000-0000-00001C000000}"/>
    <cellStyle name="_Comma_ControlTablesI" xfId="163" xr:uid="{00000000-0005-0000-0000-00001D000000}"/>
    <cellStyle name="_Comma_Cost Of Funds" xfId="164" xr:uid="{00000000-0005-0000-0000-00001E000000}"/>
    <cellStyle name="_Comma_Criteria" xfId="165" xr:uid="{00000000-0005-0000-0000-00001F000000}"/>
    <cellStyle name="_Comma_Criteria Test Export" xfId="166" xr:uid="{00000000-0005-0000-0000-000020000000}"/>
    <cellStyle name="_Comma_Criteria_ControlTables" xfId="167" xr:uid="{00000000-0005-0000-0000-000021000000}"/>
    <cellStyle name="_Comma_Criteria_ControlTablesI" xfId="168" xr:uid="{00000000-0005-0000-0000-000022000000}"/>
    <cellStyle name="_Comma_Criteria_Database - Comparables" xfId="169" xr:uid="{00000000-0005-0000-0000-000023000000}"/>
    <cellStyle name="_Comma_Criteria_DB_Eye" xfId="170" xr:uid="{00000000-0005-0000-0000-000024000000}"/>
    <cellStyle name="_Comma_Criteria_Exec Summary" xfId="171" xr:uid="{00000000-0005-0000-0000-000025000000}"/>
    <cellStyle name="_Comma_Criteria_Existing Debt" xfId="172" xr:uid="{00000000-0005-0000-0000-000026000000}"/>
    <cellStyle name="_Comma_Criteria_Kor-Port_LEQ_6-10-04_CR_Final-Struct_FINAL" xfId="173" xr:uid="{00000000-0005-0000-0000-000027000000}"/>
    <cellStyle name="_Comma_Criteria_Mallard's_Landing_LEQ_8-17-04" xfId="174" xr:uid="{00000000-0005-0000-0000-000028000000}"/>
    <cellStyle name="_Comma_Criteria_Quick Property Input" xfId="175" xr:uid="{00000000-0005-0000-0000-000029000000}"/>
    <cellStyle name="_Comma_Criteria_Sheet1" xfId="176" xr:uid="{00000000-0005-0000-0000-00002A000000}"/>
    <cellStyle name="_Comma_Criteria_Sheet1_Data Tape" xfId="177" xr:uid="{00000000-0005-0000-0000-00002B000000}"/>
    <cellStyle name="_Comma_Criteria_Sheet1_Deal Assumptions" xfId="178" xr:uid="{00000000-0005-0000-0000-00002C000000}"/>
    <cellStyle name="_Comma_Criteria_Sheet1_RE Valuation 2" xfId="179" xr:uid="{00000000-0005-0000-0000-00002D000000}"/>
    <cellStyle name="_Comma_Criteria_Sheet2" xfId="180" xr:uid="{00000000-0005-0000-0000-00002E000000}"/>
    <cellStyle name="_Comma_Data Tape" xfId="181" xr:uid="{00000000-0005-0000-0000-00002F000000}"/>
    <cellStyle name="_Comma_Data Tape_1" xfId="182" xr:uid="{00000000-0005-0000-0000-000030000000}"/>
    <cellStyle name="_Comma_Data Tape_ControlTables" xfId="183" xr:uid="{00000000-0005-0000-0000-000031000000}"/>
    <cellStyle name="_Comma_Data Tape_ControlTablesI" xfId="184" xr:uid="{00000000-0005-0000-0000-000032000000}"/>
    <cellStyle name="_Comma_Data Tape_Database - Comparables" xfId="185" xr:uid="{00000000-0005-0000-0000-000033000000}"/>
    <cellStyle name="_Comma_Data Tape_DB_Eye" xfId="186" xr:uid="{00000000-0005-0000-0000-000034000000}"/>
    <cellStyle name="_Comma_Data Tape_Exec Summary" xfId="187" xr:uid="{00000000-0005-0000-0000-000035000000}"/>
    <cellStyle name="_Comma_Data Tape_Existing Debt" xfId="188" xr:uid="{00000000-0005-0000-0000-000036000000}"/>
    <cellStyle name="_Comma_Data Tape_Kor-Port_LEQ_6-10-04_CR_Final-Struct_FINAL" xfId="189" xr:uid="{00000000-0005-0000-0000-000037000000}"/>
    <cellStyle name="_Comma_Data Tape_Mallard's_Landing_LEQ_8-17-04" xfId="190" xr:uid="{00000000-0005-0000-0000-000038000000}"/>
    <cellStyle name="_Comma_Data Tape_Quick Property Input" xfId="191" xr:uid="{00000000-0005-0000-0000-000039000000}"/>
    <cellStyle name="_Comma_Data Tape_Sheet1" xfId="192" xr:uid="{00000000-0005-0000-0000-00003A000000}"/>
    <cellStyle name="_Comma_Data Tape_Sheet1_Data Tape" xfId="193" xr:uid="{00000000-0005-0000-0000-00003B000000}"/>
    <cellStyle name="_Comma_Data Tape_Sheet1_Deal Assumptions" xfId="194" xr:uid="{00000000-0005-0000-0000-00003C000000}"/>
    <cellStyle name="_Comma_Data Tape_Sheet1_RE Valuation 2" xfId="195" xr:uid="{00000000-0005-0000-0000-00003D000000}"/>
    <cellStyle name="_Comma_Data Tape_Sheet2" xfId="196" xr:uid="{00000000-0005-0000-0000-00003E000000}"/>
    <cellStyle name="_Comma_Data_Tape" xfId="197" xr:uid="{00000000-0005-0000-0000-00003F000000}"/>
    <cellStyle name="_Comma_Database - Comparables" xfId="198" xr:uid="{00000000-0005-0000-0000-000040000000}"/>
    <cellStyle name="_Comma_Database - Economics" xfId="199" xr:uid="{00000000-0005-0000-0000-000041000000}"/>
    <cellStyle name="_Comma_DB Eye" xfId="200" xr:uid="{00000000-0005-0000-0000-000042000000}"/>
    <cellStyle name="_Comma_DB_Eye" xfId="201" xr:uid="{00000000-0005-0000-0000-000043000000}"/>
    <cellStyle name="_Comma_Deal Input" xfId="202" xr:uid="{00000000-0005-0000-0000-000044000000}"/>
    <cellStyle name="_Comma_Direct Cap Eye" xfId="203" xr:uid="{00000000-0005-0000-0000-000045000000}"/>
    <cellStyle name="_Comma_DPEM2005_vBetatest6" xfId="204" xr:uid="{00000000-0005-0000-0000-000046000000}"/>
    <cellStyle name="_Comma_ETR" xfId="205" xr:uid="{00000000-0005-0000-0000-000047000000}"/>
    <cellStyle name="_Comma_Exec Summary" xfId="206" xr:uid="{00000000-0005-0000-0000-000048000000}"/>
    <cellStyle name="_Comma_Existing Debt" xfId="207" xr:uid="{00000000-0005-0000-0000-000049000000}"/>
    <cellStyle name="_Comma_EyeChart" xfId="208" xr:uid="{00000000-0005-0000-0000-00004A000000}"/>
    <cellStyle name="_Comma_EyeChart 090503" xfId="209" xr:uid="{00000000-0005-0000-0000-00004B000000}"/>
    <cellStyle name="_Comma_Input" xfId="210" xr:uid="{00000000-0005-0000-0000-00004C000000}"/>
    <cellStyle name="_Comma_Input_1" xfId="211" xr:uid="{00000000-0005-0000-0000-00004D000000}"/>
    <cellStyle name="_Comma_Input_ControlTables" xfId="212" xr:uid="{00000000-0005-0000-0000-00004E000000}"/>
    <cellStyle name="_Comma_Input_ControlTablesI" xfId="213" xr:uid="{00000000-0005-0000-0000-00004F000000}"/>
    <cellStyle name="_Comma_Input_Data Tape" xfId="214" xr:uid="{00000000-0005-0000-0000-000050000000}"/>
    <cellStyle name="_Comma_Input_Database - Comparables" xfId="215" xr:uid="{00000000-0005-0000-0000-000051000000}"/>
    <cellStyle name="_Comma_Input_Database - Economics" xfId="216" xr:uid="{00000000-0005-0000-0000-000052000000}"/>
    <cellStyle name="_Comma_Input_DB_Eye" xfId="217" xr:uid="{00000000-0005-0000-0000-000053000000}"/>
    <cellStyle name="_Comma_Input_Exec Summary" xfId="218" xr:uid="{00000000-0005-0000-0000-000054000000}"/>
    <cellStyle name="_Comma_Input_Existing Debt" xfId="219" xr:uid="{00000000-0005-0000-0000-000055000000}"/>
    <cellStyle name="_Comma_Input_Kor-Port_LEQ_6-10-04_CR_Final-Struct_FINAL" xfId="220" xr:uid="{00000000-0005-0000-0000-000056000000}"/>
    <cellStyle name="_Comma_Input_Mallard's_Landing_LEQ_8-17-04" xfId="221" xr:uid="{00000000-0005-0000-0000-000057000000}"/>
    <cellStyle name="_Comma_Input_Quick Property Input" xfId="222" xr:uid="{00000000-0005-0000-0000-000058000000}"/>
    <cellStyle name="_Comma_Input_Sheet1" xfId="223" xr:uid="{00000000-0005-0000-0000-000059000000}"/>
    <cellStyle name="_Comma_Input_Sheet1_Data Tape" xfId="224" xr:uid="{00000000-0005-0000-0000-00005A000000}"/>
    <cellStyle name="_Comma_Input_Sheet1_Deal Assumptions" xfId="225" xr:uid="{00000000-0005-0000-0000-00005B000000}"/>
    <cellStyle name="_Comma_Input_Sheet1_RE Valuation 2" xfId="226" xr:uid="{00000000-0005-0000-0000-00005C000000}"/>
    <cellStyle name="_Comma_Input_Sheet2" xfId="227" xr:uid="{00000000-0005-0000-0000-00005D000000}"/>
    <cellStyle name="_Comma_JV Economics" xfId="228" xr:uid="{00000000-0005-0000-0000-00005E000000}"/>
    <cellStyle name="_Comma_M&amp;A Feed" xfId="229" xr:uid="{00000000-0005-0000-0000-00005F000000}"/>
    <cellStyle name="_Comma_NPV Case Eyechart" xfId="230" xr:uid="{00000000-0005-0000-0000-000060000000}"/>
    <cellStyle name="_Comma_Pools" xfId="231" xr:uid="{00000000-0005-0000-0000-000061000000}"/>
    <cellStyle name="_Comma_Pools_1" xfId="232" xr:uid="{00000000-0005-0000-0000-000062000000}"/>
    <cellStyle name="_Comma_Portfolio Valuation" xfId="233" xr:uid="{00000000-0005-0000-0000-000063000000}"/>
    <cellStyle name="_Comma_Pricing" xfId="234" xr:uid="{00000000-0005-0000-0000-000064000000}"/>
    <cellStyle name="_Comma_Prop 13" xfId="235" xr:uid="{00000000-0005-0000-0000-000065000000}"/>
    <cellStyle name="_Comma_Prop 13 Data" xfId="236" xr:uid="{00000000-0005-0000-0000-000066000000}"/>
    <cellStyle name="_Comma_Prop 13 Summary-11-10" xfId="237" xr:uid="{00000000-0005-0000-0000-000067000000}"/>
    <cellStyle name="_Comma_Property Assumptions" xfId="238" xr:uid="{00000000-0005-0000-0000-000068000000}"/>
    <cellStyle name="_Comma_Property Assumptions_1" xfId="239" xr:uid="{00000000-0005-0000-0000-000069000000}"/>
    <cellStyle name="_Comma_Quick Property Input" xfId="240" xr:uid="{00000000-0005-0000-0000-00006A000000}"/>
    <cellStyle name="_Comma_Senario Input Assumptions" xfId="241" xr:uid="{00000000-0005-0000-0000-00006B000000}"/>
    <cellStyle name="_Comma_Senario Input Assumptions_ControlTables" xfId="242" xr:uid="{00000000-0005-0000-0000-00006C000000}"/>
    <cellStyle name="_Comma_Senario Input Assumptions_ControlTablesI" xfId="243" xr:uid="{00000000-0005-0000-0000-00006D000000}"/>
    <cellStyle name="_Comma_Senario Input Assumptions_Database - Comparables" xfId="244" xr:uid="{00000000-0005-0000-0000-00006E000000}"/>
    <cellStyle name="_Comma_Senario Input Assumptions_DB_Eye" xfId="245" xr:uid="{00000000-0005-0000-0000-00006F000000}"/>
    <cellStyle name="_Comma_Senario Input Assumptions_Exec Summary" xfId="246" xr:uid="{00000000-0005-0000-0000-000070000000}"/>
    <cellStyle name="_Comma_Senario Input Assumptions_Existing Debt" xfId="247" xr:uid="{00000000-0005-0000-0000-000071000000}"/>
    <cellStyle name="_Comma_Senario Input Assumptions_Kor-Port_LEQ_6-10-04_CR_Final-Struct_FINAL" xfId="248" xr:uid="{00000000-0005-0000-0000-000072000000}"/>
    <cellStyle name="_Comma_Senario Input Assumptions_Mallard's_Landing_LEQ_8-17-04" xfId="249" xr:uid="{00000000-0005-0000-0000-000073000000}"/>
    <cellStyle name="_Comma_Senario Input Assumptions_Quick Property Input" xfId="250" xr:uid="{00000000-0005-0000-0000-000074000000}"/>
    <cellStyle name="_Comma_Senario Input Assumptions_Sheet1" xfId="251" xr:uid="{00000000-0005-0000-0000-000075000000}"/>
    <cellStyle name="_Comma_Senario Input Assumptions_Sheet1_Data Tape" xfId="252" xr:uid="{00000000-0005-0000-0000-000076000000}"/>
    <cellStyle name="_Comma_Senario Input Assumptions_Sheet1_Deal Assumptions" xfId="253" xr:uid="{00000000-0005-0000-0000-000077000000}"/>
    <cellStyle name="_Comma_Senario Input Assumptions_Sheet1_RE Valuation 2" xfId="254" xr:uid="{00000000-0005-0000-0000-000078000000}"/>
    <cellStyle name="_Comma_Senario Input Assumptions_Sheet2" xfId="255" xr:uid="{00000000-0005-0000-0000-000079000000}"/>
    <cellStyle name="_Comma_Sheet1" xfId="256" xr:uid="{00000000-0005-0000-0000-00007A000000}"/>
    <cellStyle name="_Comma_Sheet1_1" xfId="257" xr:uid="{00000000-0005-0000-0000-00007B000000}"/>
    <cellStyle name="_Comma_Sheet1_3-Yr Eyechart" xfId="258" xr:uid="{00000000-0005-0000-0000-00007C000000}"/>
    <cellStyle name="_Comma_Sheet1_Balance Sheet" xfId="259" xr:uid="{00000000-0005-0000-0000-00007D000000}"/>
    <cellStyle name="_Comma_Sheet1_Cost Of Funds" xfId="260" xr:uid="{00000000-0005-0000-0000-00007E000000}"/>
    <cellStyle name="_Comma_Sheet1_Criteria" xfId="261" xr:uid="{00000000-0005-0000-0000-00007F000000}"/>
    <cellStyle name="_Comma_Sheet1_Criteria Test Export" xfId="262" xr:uid="{00000000-0005-0000-0000-000080000000}"/>
    <cellStyle name="_Comma_Sheet1_Data Tape" xfId="263" xr:uid="{00000000-0005-0000-0000-000081000000}"/>
    <cellStyle name="_Comma_Sheet1_Data Tape_1" xfId="264" xr:uid="{00000000-0005-0000-0000-000082000000}"/>
    <cellStyle name="_Comma_Sheet1_Data_Tape" xfId="265" xr:uid="{00000000-0005-0000-0000-000083000000}"/>
    <cellStyle name="_Comma_Sheet1_Data_Tape_ControlTables" xfId="266" xr:uid="{00000000-0005-0000-0000-000084000000}"/>
    <cellStyle name="_Comma_Sheet1_Data_Tape_ControlTablesI" xfId="267" xr:uid="{00000000-0005-0000-0000-000085000000}"/>
    <cellStyle name="_Comma_Sheet1_Data_Tape_Database - Comparables" xfId="268" xr:uid="{00000000-0005-0000-0000-000086000000}"/>
    <cellStyle name="_Comma_Sheet1_Data_Tape_DB_Eye" xfId="269" xr:uid="{00000000-0005-0000-0000-000087000000}"/>
    <cellStyle name="_Comma_Sheet1_Data_Tape_Exec Summary" xfId="270" xr:uid="{00000000-0005-0000-0000-000088000000}"/>
    <cellStyle name="_Comma_Sheet1_Data_Tape_Existing Debt" xfId="271" xr:uid="{00000000-0005-0000-0000-000089000000}"/>
    <cellStyle name="_Comma_Sheet1_Data_Tape_Kor-Port_LEQ_6-10-04_CR_Final-Struct_FINAL" xfId="272" xr:uid="{00000000-0005-0000-0000-00008A000000}"/>
    <cellStyle name="_Comma_Sheet1_Data_Tape_Mallard's_Landing_LEQ_8-17-04" xfId="273" xr:uid="{00000000-0005-0000-0000-00008B000000}"/>
    <cellStyle name="_Comma_Sheet1_Data_Tape_Quick Property Input" xfId="274" xr:uid="{00000000-0005-0000-0000-00008C000000}"/>
    <cellStyle name="_Comma_Sheet1_Data_Tape_Sheet1" xfId="275" xr:uid="{00000000-0005-0000-0000-00008D000000}"/>
    <cellStyle name="_Comma_Sheet1_Data_Tape_Sheet1_Data Tape" xfId="276" xr:uid="{00000000-0005-0000-0000-00008E000000}"/>
    <cellStyle name="_Comma_Sheet1_Data_Tape_Sheet1_Deal Assumptions" xfId="277" xr:uid="{00000000-0005-0000-0000-00008F000000}"/>
    <cellStyle name="_Comma_Sheet1_Data_Tape_Sheet1_RE Valuation 2" xfId="278" xr:uid="{00000000-0005-0000-0000-000090000000}"/>
    <cellStyle name="_Comma_Sheet1_Data_Tape_Sheet2" xfId="279" xr:uid="{00000000-0005-0000-0000-000091000000}"/>
    <cellStyle name="_Comma_Sheet1_Database - Economics" xfId="280" xr:uid="{00000000-0005-0000-0000-000092000000}"/>
    <cellStyle name="_Comma_Sheet1_Deal Input" xfId="281" xr:uid="{00000000-0005-0000-0000-000093000000}"/>
    <cellStyle name="_Comma_Sheet1_Direct Cap Eye" xfId="282" xr:uid="{00000000-0005-0000-0000-000094000000}"/>
    <cellStyle name="_Comma_Sheet1_DPEM2005_vBetatest6" xfId="283" xr:uid="{00000000-0005-0000-0000-000095000000}"/>
    <cellStyle name="_Comma_Sheet1_ETR" xfId="284" xr:uid="{00000000-0005-0000-0000-000096000000}"/>
    <cellStyle name="_Comma_Sheet1_Existing Debt" xfId="285" xr:uid="{00000000-0005-0000-0000-000097000000}"/>
    <cellStyle name="_Comma_Sheet1_Input" xfId="286" xr:uid="{00000000-0005-0000-0000-000098000000}"/>
    <cellStyle name="_Comma_Sheet1_Input_1" xfId="287" xr:uid="{00000000-0005-0000-0000-000099000000}"/>
    <cellStyle name="_Comma_Sheet1_Input_Data Tape" xfId="288" xr:uid="{00000000-0005-0000-0000-00009A000000}"/>
    <cellStyle name="_Comma_Sheet1_Input_Database - Economics" xfId="289" xr:uid="{00000000-0005-0000-0000-00009B000000}"/>
    <cellStyle name="_Comma_Sheet1_M&amp;A Feed" xfId="290" xr:uid="{00000000-0005-0000-0000-00009C000000}"/>
    <cellStyle name="_Comma_Sheet1_NPV Case Eyechart" xfId="291" xr:uid="{00000000-0005-0000-0000-00009D000000}"/>
    <cellStyle name="_Comma_Sheet1_Pools" xfId="292" xr:uid="{00000000-0005-0000-0000-00009E000000}"/>
    <cellStyle name="_Comma_Sheet1_Pools_1" xfId="293" xr:uid="{00000000-0005-0000-0000-00009F000000}"/>
    <cellStyle name="_Comma_Sheet1_Pools_ControlTables" xfId="294" xr:uid="{00000000-0005-0000-0000-0000A0000000}"/>
    <cellStyle name="_Comma_Sheet1_Pools_ControlTablesI" xfId="295" xr:uid="{00000000-0005-0000-0000-0000A1000000}"/>
    <cellStyle name="_Comma_Sheet1_Pools_Database - Comparables" xfId="296" xr:uid="{00000000-0005-0000-0000-0000A2000000}"/>
    <cellStyle name="_Comma_Sheet1_Pools_DB_Eye" xfId="297" xr:uid="{00000000-0005-0000-0000-0000A3000000}"/>
    <cellStyle name="_Comma_Sheet1_Pools_Exec Summary" xfId="298" xr:uid="{00000000-0005-0000-0000-0000A4000000}"/>
    <cellStyle name="_Comma_Sheet1_Pools_Existing Debt" xfId="299" xr:uid="{00000000-0005-0000-0000-0000A5000000}"/>
    <cellStyle name="_Comma_Sheet1_Pools_Kor-Port_LEQ_6-10-04_CR_Final-Struct_FINAL" xfId="300" xr:uid="{00000000-0005-0000-0000-0000A6000000}"/>
    <cellStyle name="_Comma_Sheet1_Pools_Mallard's_Landing_LEQ_8-17-04" xfId="301" xr:uid="{00000000-0005-0000-0000-0000A7000000}"/>
    <cellStyle name="_Comma_Sheet1_Pools_Quick Property Input" xfId="302" xr:uid="{00000000-0005-0000-0000-0000A8000000}"/>
    <cellStyle name="_Comma_Sheet1_Pools_Sheet1" xfId="303" xr:uid="{00000000-0005-0000-0000-0000A9000000}"/>
    <cellStyle name="_Comma_Sheet1_Pools_Sheet1_Data Tape" xfId="304" xr:uid="{00000000-0005-0000-0000-0000AA000000}"/>
    <cellStyle name="_Comma_Sheet1_Pools_Sheet1_Deal Assumptions" xfId="305" xr:uid="{00000000-0005-0000-0000-0000AB000000}"/>
    <cellStyle name="_Comma_Sheet1_Pools_Sheet1_RE Valuation 2" xfId="306" xr:uid="{00000000-0005-0000-0000-0000AC000000}"/>
    <cellStyle name="_Comma_Sheet1_Pools_Sheet2" xfId="307" xr:uid="{00000000-0005-0000-0000-0000AD000000}"/>
    <cellStyle name="_Comma_Sheet1_Portfolio Valuation" xfId="308" xr:uid="{00000000-0005-0000-0000-0000AE000000}"/>
    <cellStyle name="_Comma_Sheet1_Prop 13" xfId="309" xr:uid="{00000000-0005-0000-0000-0000AF000000}"/>
    <cellStyle name="_Comma_Sheet1_Prop 13 Data" xfId="310" xr:uid="{00000000-0005-0000-0000-0000B0000000}"/>
    <cellStyle name="_Comma_Sheet1_Prop 13 Summary-11-10" xfId="311" xr:uid="{00000000-0005-0000-0000-0000B1000000}"/>
    <cellStyle name="_Comma_Sheet1_Property Assumptions" xfId="312" xr:uid="{00000000-0005-0000-0000-0000B2000000}"/>
    <cellStyle name="_Comma_Sheet1_Property Assumptions_1" xfId="313" xr:uid="{00000000-0005-0000-0000-0000B3000000}"/>
    <cellStyle name="_Comma_Sheet1_Quick Property Input" xfId="314" xr:uid="{00000000-0005-0000-0000-0000B4000000}"/>
    <cellStyle name="_Comma_Sheet1_Senario Input Assumptions" xfId="315" xr:uid="{00000000-0005-0000-0000-0000B5000000}"/>
    <cellStyle name="_Comma_Sheet1_Sheet1" xfId="316" xr:uid="{00000000-0005-0000-0000-0000B6000000}"/>
    <cellStyle name="_Comma_Sheet1_Sheet2" xfId="317" xr:uid="{00000000-0005-0000-0000-0000B7000000}"/>
    <cellStyle name="_Comma_Sheet1_Sheet2_1" xfId="318" xr:uid="{00000000-0005-0000-0000-0000B8000000}"/>
    <cellStyle name="_Comma_Sheet1_Sheet3" xfId="319" xr:uid="{00000000-0005-0000-0000-0000B9000000}"/>
    <cellStyle name="_Comma_Sheet1_Sheet5" xfId="320" xr:uid="{00000000-0005-0000-0000-0000BA000000}"/>
    <cellStyle name="_Comma_Sheet1_Structure Model_2003_test2" xfId="321" xr:uid="{00000000-0005-0000-0000-0000BB000000}"/>
    <cellStyle name="_Comma_Sheet2" xfId="322" xr:uid="{00000000-0005-0000-0000-0000BC000000}"/>
    <cellStyle name="_Comma_Sheet2_1" xfId="323" xr:uid="{00000000-0005-0000-0000-0000BD000000}"/>
    <cellStyle name="_Comma_Sheet3" xfId="324" xr:uid="{00000000-0005-0000-0000-0000BE000000}"/>
    <cellStyle name="_Comma_Sheet3_1" xfId="325" xr:uid="{00000000-0005-0000-0000-0000BF000000}"/>
    <cellStyle name="_Comma_Sheet4" xfId="326" xr:uid="{00000000-0005-0000-0000-0000C0000000}"/>
    <cellStyle name="_Comma_Sheet5" xfId="327" xr:uid="{00000000-0005-0000-0000-0000C1000000}"/>
    <cellStyle name="_Comma_Structure Model_2003_test2" xfId="328" xr:uid="{00000000-0005-0000-0000-0000C2000000}"/>
    <cellStyle name="_Comma_Structure Model_2003_test2_ControlTables" xfId="329" xr:uid="{00000000-0005-0000-0000-0000C3000000}"/>
    <cellStyle name="_Comma_Structure Model_2003_test2_ControlTablesI" xfId="330" xr:uid="{00000000-0005-0000-0000-0000C4000000}"/>
    <cellStyle name="_Comma_Structure Model_2003_test2_Database - Comparables" xfId="331" xr:uid="{00000000-0005-0000-0000-0000C5000000}"/>
    <cellStyle name="_Comma_Structure Model_2003_test2_DB_Eye" xfId="332" xr:uid="{00000000-0005-0000-0000-0000C6000000}"/>
    <cellStyle name="_Comma_Structure Model_2003_test2_Exec Summary" xfId="333" xr:uid="{00000000-0005-0000-0000-0000C7000000}"/>
    <cellStyle name="_Comma_Structure Model_2003_test2_Existing Debt" xfId="334" xr:uid="{00000000-0005-0000-0000-0000C8000000}"/>
    <cellStyle name="_Comma_Structure Model_2003_test2_Kor-Port_LEQ_6-10-04_CR_Final-Struct_FINAL" xfId="335" xr:uid="{00000000-0005-0000-0000-0000C9000000}"/>
    <cellStyle name="_Comma_Structure Model_2003_test2_Mallard's_Landing_LEQ_8-17-04" xfId="336" xr:uid="{00000000-0005-0000-0000-0000CA000000}"/>
    <cellStyle name="_Comma_Structure Model_2003_test2_Quick Property Input" xfId="337" xr:uid="{00000000-0005-0000-0000-0000CB000000}"/>
    <cellStyle name="_Comma_Structure Model_2003_test2_Sheet1" xfId="338" xr:uid="{00000000-0005-0000-0000-0000CC000000}"/>
    <cellStyle name="_Comma_Structure Model_2003_test2_Sheet1_Data Tape" xfId="339" xr:uid="{00000000-0005-0000-0000-0000CD000000}"/>
    <cellStyle name="_Comma_Structure Model_2003_test2_Sheet1_Deal Assumptions" xfId="340" xr:uid="{00000000-0005-0000-0000-0000CE000000}"/>
    <cellStyle name="_Comma_Structure Model_2003_test2_Sheet1_RE Valuation 2" xfId="341" xr:uid="{00000000-0005-0000-0000-0000CF000000}"/>
    <cellStyle name="_Comma_Structure Model_2003_test2_Sheet2" xfId="342" xr:uid="{00000000-0005-0000-0000-0000D0000000}"/>
    <cellStyle name="_Currency" xfId="343" xr:uid="{00000000-0005-0000-0000-0000D1000000}"/>
    <cellStyle name="_Currency_03-05-31 Final OBS Reports" xfId="344" xr:uid="{00000000-0005-0000-0000-0000D2000000}"/>
    <cellStyle name="_Currency_3-Yr Eyechart" xfId="345" xr:uid="{00000000-0005-0000-0000-0000D3000000}"/>
    <cellStyle name="_Currency_Alamosa Standalone6" xfId="346" xr:uid="{00000000-0005-0000-0000-0000D4000000}"/>
    <cellStyle name="_Currency_ARI Base Case July 25 TPS1" xfId="347" xr:uid="{00000000-0005-0000-0000-0000D5000000}"/>
    <cellStyle name="_Currency_Balance Sheet" xfId="348" xr:uid="{00000000-0005-0000-0000-0000D6000000}"/>
    <cellStyle name="_Currency_Balance Sheet_ControlTables" xfId="349" xr:uid="{00000000-0005-0000-0000-0000D7000000}"/>
    <cellStyle name="_Currency_Balance Sheet_ControlTablesI" xfId="350" xr:uid="{00000000-0005-0000-0000-0000D8000000}"/>
    <cellStyle name="_Currency_Balance Sheet_Database - Comparables" xfId="351" xr:uid="{00000000-0005-0000-0000-0000D9000000}"/>
    <cellStyle name="_Currency_Balance Sheet_DB_Eye" xfId="352" xr:uid="{00000000-0005-0000-0000-0000DA000000}"/>
    <cellStyle name="_Currency_Balance Sheet_Exec Summary" xfId="353" xr:uid="{00000000-0005-0000-0000-0000DB000000}"/>
    <cellStyle name="_Currency_Balance Sheet_Exec Summary_1" xfId="354" xr:uid="{00000000-0005-0000-0000-0000DC000000}"/>
    <cellStyle name="_Currency_Balance Sheet_Sheet1" xfId="355" xr:uid="{00000000-0005-0000-0000-0000DD000000}"/>
    <cellStyle name="_Currency_ControlTables" xfId="356" xr:uid="{00000000-0005-0000-0000-0000DE000000}"/>
    <cellStyle name="_Currency_ControlTablesI" xfId="357" xr:uid="{00000000-0005-0000-0000-0000DF000000}"/>
    <cellStyle name="_Currency_Cost Of Funds" xfId="358" xr:uid="{00000000-0005-0000-0000-0000E0000000}"/>
    <cellStyle name="_Currency_Criteria" xfId="359" xr:uid="{00000000-0005-0000-0000-0000E1000000}"/>
    <cellStyle name="_Currency_Criteria Test Export" xfId="360" xr:uid="{00000000-0005-0000-0000-0000E2000000}"/>
    <cellStyle name="_Currency_Criteria_ControlTables" xfId="361" xr:uid="{00000000-0005-0000-0000-0000E3000000}"/>
    <cellStyle name="_Currency_Criteria_ControlTablesI" xfId="362" xr:uid="{00000000-0005-0000-0000-0000E4000000}"/>
    <cellStyle name="_Currency_Criteria_Database - Comparables" xfId="363" xr:uid="{00000000-0005-0000-0000-0000E5000000}"/>
    <cellStyle name="_Currency_Criteria_DB_Eye" xfId="364" xr:uid="{00000000-0005-0000-0000-0000E6000000}"/>
    <cellStyle name="_Currency_Criteria_Exec Summary" xfId="365" xr:uid="{00000000-0005-0000-0000-0000E7000000}"/>
    <cellStyle name="_Currency_Criteria_Exec Summary_1" xfId="366" xr:uid="{00000000-0005-0000-0000-0000E8000000}"/>
    <cellStyle name="_Currency_Criteria_Sheet1" xfId="367" xr:uid="{00000000-0005-0000-0000-0000E9000000}"/>
    <cellStyle name="_Currency_Data Tape" xfId="368" xr:uid="{00000000-0005-0000-0000-0000EA000000}"/>
    <cellStyle name="_Currency_Data Tape_1" xfId="369" xr:uid="{00000000-0005-0000-0000-0000EB000000}"/>
    <cellStyle name="_Currency_Data Tape_ControlTables" xfId="370" xr:uid="{00000000-0005-0000-0000-0000EC000000}"/>
    <cellStyle name="_Currency_Data Tape_ControlTablesI" xfId="371" xr:uid="{00000000-0005-0000-0000-0000ED000000}"/>
    <cellStyle name="_Currency_Data Tape_Database - Comparables" xfId="372" xr:uid="{00000000-0005-0000-0000-0000EE000000}"/>
    <cellStyle name="_Currency_Data Tape_DB_Eye" xfId="373" xr:uid="{00000000-0005-0000-0000-0000EF000000}"/>
    <cellStyle name="_Currency_Data Tape_Exec Summary" xfId="374" xr:uid="{00000000-0005-0000-0000-0000F0000000}"/>
    <cellStyle name="_Currency_Data Tape_Exec Summary_1" xfId="375" xr:uid="{00000000-0005-0000-0000-0000F1000000}"/>
    <cellStyle name="_Currency_Data Tape_Sheet1" xfId="376" xr:uid="{00000000-0005-0000-0000-0000F2000000}"/>
    <cellStyle name="_Currency_Data_Tape" xfId="377" xr:uid="{00000000-0005-0000-0000-0000F3000000}"/>
    <cellStyle name="_Currency_Data_Tape_ControlTables" xfId="378" xr:uid="{00000000-0005-0000-0000-0000F4000000}"/>
    <cellStyle name="_Currency_Data_Tape_ControlTablesI" xfId="379" xr:uid="{00000000-0005-0000-0000-0000F5000000}"/>
    <cellStyle name="_Currency_Data_Tape_Database - Comparables" xfId="380" xr:uid="{00000000-0005-0000-0000-0000F6000000}"/>
    <cellStyle name="_Currency_Data_Tape_DB_Eye" xfId="381" xr:uid="{00000000-0005-0000-0000-0000F7000000}"/>
    <cellStyle name="_Currency_Data_Tape_Exec Summary" xfId="382" xr:uid="{00000000-0005-0000-0000-0000F8000000}"/>
    <cellStyle name="_Currency_Data_Tape_Exec Summary_1" xfId="383" xr:uid="{00000000-0005-0000-0000-0000F9000000}"/>
    <cellStyle name="_Currency_Data_Tape_Sheet1" xfId="384" xr:uid="{00000000-0005-0000-0000-0000FA000000}"/>
    <cellStyle name="_Currency_Database - Comparables" xfId="385" xr:uid="{00000000-0005-0000-0000-0000FB000000}"/>
    <cellStyle name="_Currency_Database - Economics" xfId="386" xr:uid="{00000000-0005-0000-0000-0000FC000000}"/>
    <cellStyle name="_Currency_DB_Eye" xfId="387" xr:uid="{00000000-0005-0000-0000-0000FD000000}"/>
    <cellStyle name="_Currency_Deal Input" xfId="388" xr:uid="{00000000-0005-0000-0000-0000FE000000}"/>
    <cellStyle name="_Currency_Direct Cap Eye" xfId="389" xr:uid="{00000000-0005-0000-0000-0000FF000000}"/>
    <cellStyle name="_Currency_DPEM2005_vBetatest6" xfId="390" xr:uid="{00000000-0005-0000-0000-000000010000}"/>
    <cellStyle name="_Currency_ETR" xfId="391" xr:uid="{00000000-0005-0000-0000-000001010000}"/>
    <cellStyle name="_Currency_Exec Summary" xfId="392" xr:uid="{00000000-0005-0000-0000-000002010000}"/>
    <cellStyle name="_Currency_Exec Summary_1" xfId="393" xr:uid="{00000000-0005-0000-0000-000003010000}"/>
    <cellStyle name="_Currency_Existing Debt" xfId="394" xr:uid="{00000000-0005-0000-0000-000004010000}"/>
    <cellStyle name="_Currency_Existing Debt_1" xfId="395" xr:uid="{00000000-0005-0000-0000-000005010000}"/>
    <cellStyle name="_Currency_EyeChart" xfId="396" xr:uid="{00000000-0005-0000-0000-000006010000}"/>
    <cellStyle name="_Currency_EyeChart 090503" xfId="397" xr:uid="{00000000-0005-0000-0000-000007010000}"/>
    <cellStyle name="_Currency_GMACCH_Loans_OBS_033103_Final_v2" xfId="398" xr:uid="{00000000-0005-0000-0000-000008010000}"/>
    <cellStyle name="_Currency_Input" xfId="399" xr:uid="{00000000-0005-0000-0000-000009010000}"/>
    <cellStyle name="_Currency_Input_1" xfId="400" xr:uid="{00000000-0005-0000-0000-00000A010000}"/>
    <cellStyle name="_Currency_Input_2" xfId="401" xr:uid="{00000000-0005-0000-0000-00000B010000}"/>
    <cellStyle name="_Currency_Input_ControlTables" xfId="402" xr:uid="{00000000-0005-0000-0000-00000C010000}"/>
    <cellStyle name="_Currency_Input_ControlTablesI" xfId="403" xr:uid="{00000000-0005-0000-0000-00000D010000}"/>
    <cellStyle name="_Currency_Input_Data Tape" xfId="404" xr:uid="{00000000-0005-0000-0000-00000E010000}"/>
    <cellStyle name="_Currency_Input_Database - Comparables" xfId="405" xr:uid="{00000000-0005-0000-0000-00000F010000}"/>
    <cellStyle name="_Currency_Input_Database - Economics" xfId="406" xr:uid="{00000000-0005-0000-0000-000010010000}"/>
    <cellStyle name="_Currency_Input_DB_Eye" xfId="407" xr:uid="{00000000-0005-0000-0000-000011010000}"/>
    <cellStyle name="_Currency_Input_Exec Summary" xfId="408" xr:uid="{00000000-0005-0000-0000-000012010000}"/>
    <cellStyle name="_Currency_Input_Exec Summary_1" xfId="409" xr:uid="{00000000-0005-0000-0000-000013010000}"/>
    <cellStyle name="_Currency_Input_Sheet1" xfId="410" xr:uid="{00000000-0005-0000-0000-000014010000}"/>
    <cellStyle name="_Currency_JV Economics" xfId="411" xr:uid="{00000000-0005-0000-0000-000015010000}"/>
    <cellStyle name="_Currency_M&amp;A Feed" xfId="412" xr:uid="{00000000-0005-0000-0000-000016010000}"/>
    <cellStyle name="_Currency_NPV Case Eyechart" xfId="413" xr:uid="{00000000-0005-0000-0000-000017010000}"/>
    <cellStyle name="_Currency_Pools" xfId="414" xr:uid="{00000000-0005-0000-0000-000018010000}"/>
    <cellStyle name="_Currency_Pools_1" xfId="415" xr:uid="{00000000-0005-0000-0000-000019010000}"/>
    <cellStyle name="_Currency_Pools_ControlTables" xfId="416" xr:uid="{00000000-0005-0000-0000-00001A010000}"/>
    <cellStyle name="_Currency_Pools_ControlTablesI" xfId="417" xr:uid="{00000000-0005-0000-0000-00001B010000}"/>
    <cellStyle name="_Currency_Pools_Database - Comparables" xfId="418" xr:uid="{00000000-0005-0000-0000-00001C010000}"/>
    <cellStyle name="_Currency_Pools_DB_Eye" xfId="419" xr:uid="{00000000-0005-0000-0000-00001D010000}"/>
    <cellStyle name="_Currency_Pools_Exec Summary" xfId="420" xr:uid="{00000000-0005-0000-0000-00001E010000}"/>
    <cellStyle name="_Currency_Pools_Exec Summary_1" xfId="421" xr:uid="{00000000-0005-0000-0000-00001F010000}"/>
    <cellStyle name="_Currency_Pools_Sheet1" xfId="422" xr:uid="{00000000-0005-0000-0000-000020010000}"/>
    <cellStyle name="_Currency_Portfolio Valuation" xfId="423" xr:uid="{00000000-0005-0000-0000-000021010000}"/>
    <cellStyle name="_Currency_Pricing" xfId="424" xr:uid="{00000000-0005-0000-0000-000022010000}"/>
    <cellStyle name="_Currency_Prop 13" xfId="425" xr:uid="{00000000-0005-0000-0000-000023010000}"/>
    <cellStyle name="_Currency_Prop 13 Data" xfId="426" xr:uid="{00000000-0005-0000-0000-000024010000}"/>
    <cellStyle name="_Currency_Prop 13 Summary-11-10" xfId="427" xr:uid="{00000000-0005-0000-0000-000025010000}"/>
    <cellStyle name="_Currency_Property Assumptions" xfId="428" xr:uid="{00000000-0005-0000-0000-000026010000}"/>
    <cellStyle name="_Currency_Property Assumptions_1" xfId="429" xr:uid="{00000000-0005-0000-0000-000027010000}"/>
    <cellStyle name="_Currency_Quick Property Input" xfId="430" xr:uid="{00000000-0005-0000-0000-000028010000}"/>
    <cellStyle name="_Currency_Roberts Standalone14 Quarterly 2" xfId="431" xr:uid="{00000000-0005-0000-0000-000029010000}"/>
    <cellStyle name="_Currency_Senario Input Assumptions" xfId="432" xr:uid="{00000000-0005-0000-0000-00002A010000}"/>
    <cellStyle name="_Currency_Senario Input Assumptions_ControlTables" xfId="433" xr:uid="{00000000-0005-0000-0000-00002B010000}"/>
    <cellStyle name="_Currency_Senario Input Assumptions_ControlTablesI" xfId="434" xr:uid="{00000000-0005-0000-0000-00002C010000}"/>
    <cellStyle name="_Currency_Senario Input Assumptions_Database - Comparables" xfId="435" xr:uid="{00000000-0005-0000-0000-00002D010000}"/>
    <cellStyle name="_Currency_Senario Input Assumptions_DB_Eye" xfId="436" xr:uid="{00000000-0005-0000-0000-00002E010000}"/>
    <cellStyle name="_Currency_Senario Input Assumptions_Exec Summary" xfId="437" xr:uid="{00000000-0005-0000-0000-00002F010000}"/>
    <cellStyle name="_Currency_Senario Input Assumptions_Exec Summary_1" xfId="438" xr:uid="{00000000-0005-0000-0000-000030010000}"/>
    <cellStyle name="_Currency_Senario Input Assumptions_Sheet1" xfId="439" xr:uid="{00000000-0005-0000-0000-000031010000}"/>
    <cellStyle name="_Currency_Sheet1" xfId="440" xr:uid="{00000000-0005-0000-0000-000032010000}"/>
    <cellStyle name="_Currency_Sheet1_1" xfId="441" xr:uid="{00000000-0005-0000-0000-000033010000}"/>
    <cellStyle name="_Currency_Sheet1_3-Yr Eyechart" xfId="442" xr:uid="{00000000-0005-0000-0000-000034010000}"/>
    <cellStyle name="_Currency_Sheet1_Balance Sheet" xfId="443" xr:uid="{00000000-0005-0000-0000-000035010000}"/>
    <cellStyle name="_Currency_Sheet1_Balance Sheet_ControlTables" xfId="444" xr:uid="{00000000-0005-0000-0000-000036010000}"/>
    <cellStyle name="_Currency_Sheet1_Balance Sheet_ControlTablesI" xfId="445" xr:uid="{00000000-0005-0000-0000-000037010000}"/>
    <cellStyle name="_Currency_Sheet1_Balance Sheet_Database - Comparables" xfId="446" xr:uid="{00000000-0005-0000-0000-000038010000}"/>
    <cellStyle name="_Currency_Sheet1_Balance Sheet_DB_Eye" xfId="447" xr:uid="{00000000-0005-0000-0000-000039010000}"/>
    <cellStyle name="_Currency_Sheet1_Balance Sheet_Exec Summary" xfId="448" xr:uid="{00000000-0005-0000-0000-00003A010000}"/>
    <cellStyle name="_Currency_Sheet1_Balance Sheet_Exec Summary_1" xfId="449" xr:uid="{00000000-0005-0000-0000-00003B010000}"/>
    <cellStyle name="_Currency_Sheet1_Balance Sheet_Sheet1" xfId="450" xr:uid="{00000000-0005-0000-0000-00003C010000}"/>
    <cellStyle name="_Currency_Sheet1_ControlTables" xfId="451" xr:uid="{00000000-0005-0000-0000-00003D010000}"/>
    <cellStyle name="_Currency_Sheet1_ControlTablesI" xfId="452" xr:uid="{00000000-0005-0000-0000-00003E010000}"/>
    <cellStyle name="_Currency_Sheet1_Cost Of Funds" xfId="453" xr:uid="{00000000-0005-0000-0000-00003F010000}"/>
    <cellStyle name="_Currency_Sheet1_Criteria" xfId="454" xr:uid="{00000000-0005-0000-0000-000040010000}"/>
    <cellStyle name="_Currency_Sheet1_Criteria Test Export" xfId="455" xr:uid="{00000000-0005-0000-0000-000041010000}"/>
    <cellStyle name="_Currency_Sheet1_Criteria_ControlTables" xfId="456" xr:uid="{00000000-0005-0000-0000-000042010000}"/>
    <cellStyle name="_Currency_Sheet1_Criteria_ControlTablesI" xfId="457" xr:uid="{00000000-0005-0000-0000-000043010000}"/>
    <cellStyle name="_Currency_Sheet1_Criteria_Database - Comparables" xfId="458" xr:uid="{00000000-0005-0000-0000-000044010000}"/>
    <cellStyle name="_Currency_Sheet1_Criteria_DB_Eye" xfId="459" xr:uid="{00000000-0005-0000-0000-000045010000}"/>
    <cellStyle name="_Currency_Sheet1_Criteria_Exec Summary" xfId="460" xr:uid="{00000000-0005-0000-0000-000046010000}"/>
    <cellStyle name="_Currency_Sheet1_Criteria_Exec Summary_1" xfId="461" xr:uid="{00000000-0005-0000-0000-000047010000}"/>
    <cellStyle name="_Currency_Sheet1_Criteria_Sheet1" xfId="462" xr:uid="{00000000-0005-0000-0000-000048010000}"/>
    <cellStyle name="_Currency_Sheet1_Data Tape" xfId="463" xr:uid="{00000000-0005-0000-0000-000049010000}"/>
    <cellStyle name="_Currency_Sheet1_Data Tape_1" xfId="464" xr:uid="{00000000-0005-0000-0000-00004A010000}"/>
    <cellStyle name="_Currency_Sheet1_Data Tape_ControlTables" xfId="465" xr:uid="{00000000-0005-0000-0000-00004B010000}"/>
    <cellStyle name="_Currency_Sheet1_Data Tape_ControlTablesI" xfId="466" xr:uid="{00000000-0005-0000-0000-00004C010000}"/>
    <cellStyle name="_Currency_Sheet1_Data Tape_Database - Comparables" xfId="467" xr:uid="{00000000-0005-0000-0000-00004D010000}"/>
    <cellStyle name="_Currency_Sheet1_Data Tape_DB_Eye" xfId="468" xr:uid="{00000000-0005-0000-0000-00004E010000}"/>
    <cellStyle name="_Currency_Sheet1_Data Tape_Exec Summary" xfId="469" xr:uid="{00000000-0005-0000-0000-00004F010000}"/>
    <cellStyle name="_Currency_Sheet1_Data Tape_Exec Summary_1" xfId="470" xr:uid="{00000000-0005-0000-0000-000050010000}"/>
    <cellStyle name="_Currency_Sheet1_Data Tape_Sheet1" xfId="471" xr:uid="{00000000-0005-0000-0000-000051010000}"/>
    <cellStyle name="_Currency_Sheet1_Data_Tape" xfId="472" xr:uid="{00000000-0005-0000-0000-000052010000}"/>
    <cellStyle name="_Currency_Sheet1_Data_Tape_ControlTables" xfId="473" xr:uid="{00000000-0005-0000-0000-000053010000}"/>
    <cellStyle name="_Currency_Sheet1_Data_Tape_ControlTablesI" xfId="474" xr:uid="{00000000-0005-0000-0000-000054010000}"/>
    <cellStyle name="_Currency_Sheet1_Data_Tape_DB_Eye" xfId="475" xr:uid="{00000000-0005-0000-0000-000055010000}"/>
    <cellStyle name="_Currency_Sheet1_Data_Tape_Exec Summary" xfId="476" xr:uid="{00000000-0005-0000-0000-000056010000}"/>
    <cellStyle name="_Currency_Sheet1_Data_Tape_Exec Summary_1" xfId="477" xr:uid="{00000000-0005-0000-0000-000057010000}"/>
    <cellStyle name="_Currency_Sheet1_Data_Tape_Sheet1" xfId="478" xr:uid="{00000000-0005-0000-0000-000058010000}"/>
    <cellStyle name="_Currency_Sheet1_Database - Comparables" xfId="479" xr:uid="{00000000-0005-0000-0000-000059010000}"/>
    <cellStyle name="_Currency_Sheet1_Database - Economics" xfId="480" xr:uid="{00000000-0005-0000-0000-00005A010000}"/>
    <cellStyle name="_Currency_Sheet1_DB_Eye" xfId="481" xr:uid="{00000000-0005-0000-0000-00005B010000}"/>
    <cellStyle name="_Currency_Sheet1_Deal Input" xfId="482" xr:uid="{00000000-0005-0000-0000-00005C010000}"/>
    <cellStyle name="_Currency_Sheet1_Direct Cap Eye" xfId="483" xr:uid="{00000000-0005-0000-0000-00005D010000}"/>
    <cellStyle name="_Currency_Sheet1_DPEM2005_vBetatest6" xfId="484" xr:uid="{00000000-0005-0000-0000-00005E010000}"/>
    <cellStyle name="_Currency_Sheet1_ETR" xfId="485" xr:uid="{00000000-0005-0000-0000-00005F010000}"/>
    <cellStyle name="_Currency_Sheet1_Exec Summary" xfId="486" xr:uid="{00000000-0005-0000-0000-000060010000}"/>
    <cellStyle name="_Currency_Sheet1_Exec Summary_1" xfId="487" xr:uid="{00000000-0005-0000-0000-000061010000}"/>
    <cellStyle name="_Currency_Sheet1_Existing Debt" xfId="488" xr:uid="{00000000-0005-0000-0000-000062010000}"/>
    <cellStyle name="_Currency_Sheet1_Input" xfId="489" xr:uid="{00000000-0005-0000-0000-000063010000}"/>
    <cellStyle name="_Currency_Sheet1_Input_1" xfId="490" xr:uid="{00000000-0005-0000-0000-000064010000}"/>
    <cellStyle name="_Currency_Sheet1_Input_ControlTables" xfId="491" xr:uid="{00000000-0005-0000-0000-000065010000}"/>
    <cellStyle name="_Currency_Sheet1_Input_ControlTablesI" xfId="492" xr:uid="{00000000-0005-0000-0000-000066010000}"/>
    <cellStyle name="_Currency_Sheet1_Input_Data Tape" xfId="493" xr:uid="{00000000-0005-0000-0000-000067010000}"/>
    <cellStyle name="_Currency_Sheet1_Input_Database - Economics" xfId="494" xr:uid="{00000000-0005-0000-0000-000068010000}"/>
    <cellStyle name="_Currency_Sheet1_Input_DB_Eye" xfId="495" xr:uid="{00000000-0005-0000-0000-000069010000}"/>
    <cellStyle name="_Currency_Sheet1_Input_Exec Summary" xfId="496" xr:uid="{00000000-0005-0000-0000-00006A010000}"/>
    <cellStyle name="_Currency_Sheet1_Input_Exec Summary_1" xfId="497" xr:uid="{00000000-0005-0000-0000-00006B010000}"/>
    <cellStyle name="_Currency_Sheet1_Input_Sheet1" xfId="498" xr:uid="{00000000-0005-0000-0000-00006C010000}"/>
    <cellStyle name="_Currency_Sheet1_M&amp;A Feed" xfId="499" xr:uid="{00000000-0005-0000-0000-00006D010000}"/>
    <cellStyle name="_Currency_Sheet1_NPV Case Eyechart" xfId="500" xr:uid="{00000000-0005-0000-0000-00006E010000}"/>
    <cellStyle name="_Currency_Sheet1_Pools" xfId="501" xr:uid="{00000000-0005-0000-0000-00006F010000}"/>
    <cellStyle name="_Currency_Sheet1_Pools_1" xfId="502" xr:uid="{00000000-0005-0000-0000-000070010000}"/>
    <cellStyle name="_Currency_Sheet1_Pools_ControlTables" xfId="503" xr:uid="{00000000-0005-0000-0000-000071010000}"/>
    <cellStyle name="_Currency_Sheet1_Pools_ControlTablesI" xfId="504" xr:uid="{00000000-0005-0000-0000-000072010000}"/>
    <cellStyle name="_Currency_Sheet1_Pools_DB_Eye" xfId="505" xr:uid="{00000000-0005-0000-0000-000073010000}"/>
    <cellStyle name="_Currency_Sheet1_Pools_Exec Summary" xfId="506" xr:uid="{00000000-0005-0000-0000-000074010000}"/>
    <cellStyle name="_Currency_Sheet1_Pools_Exec Summary_1" xfId="507" xr:uid="{00000000-0005-0000-0000-000075010000}"/>
    <cellStyle name="_Currency_Sheet1_Pools_Sheet1" xfId="508" xr:uid="{00000000-0005-0000-0000-000076010000}"/>
    <cellStyle name="_Currency_Sheet1_Portfolio Valuation" xfId="509" xr:uid="{00000000-0005-0000-0000-000077010000}"/>
    <cellStyle name="_Currency_Sheet1_Prop 13" xfId="510" xr:uid="{00000000-0005-0000-0000-000078010000}"/>
    <cellStyle name="_Currency_Sheet1_Prop 13 Data" xfId="511" xr:uid="{00000000-0005-0000-0000-000079010000}"/>
    <cellStyle name="_Currency_Sheet1_Prop 13 Summary-11-10" xfId="512" xr:uid="{00000000-0005-0000-0000-00007A010000}"/>
    <cellStyle name="_Currency_Sheet1_Property Assumptions" xfId="513" xr:uid="{00000000-0005-0000-0000-00007B010000}"/>
    <cellStyle name="_Currency_Sheet1_Property Assumptions_1" xfId="514" xr:uid="{00000000-0005-0000-0000-00007C010000}"/>
    <cellStyle name="_Currency_Sheet1_Quick Property Input" xfId="515" xr:uid="{00000000-0005-0000-0000-00007D010000}"/>
    <cellStyle name="_Currency_Sheet1_Senario Input Assumptions" xfId="516" xr:uid="{00000000-0005-0000-0000-00007E010000}"/>
    <cellStyle name="_Currency_Sheet1_Senario Input Assumptions_ControlTables" xfId="517" xr:uid="{00000000-0005-0000-0000-00007F010000}"/>
    <cellStyle name="_Currency_Sheet1_Senario Input Assumptions_ControlTablesI" xfId="518" xr:uid="{00000000-0005-0000-0000-000080010000}"/>
    <cellStyle name="_Currency_Sheet1_Senario Input Assumptions_DB_Eye" xfId="519" xr:uid="{00000000-0005-0000-0000-000081010000}"/>
    <cellStyle name="_Currency_Sheet1_Senario Input Assumptions_Exec Summary" xfId="520" xr:uid="{00000000-0005-0000-0000-000082010000}"/>
    <cellStyle name="_Currency_Sheet1_Senario Input Assumptions_Exec Summary_1" xfId="521" xr:uid="{00000000-0005-0000-0000-000083010000}"/>
    <cellStyle name="_Currency_Sheet1_Senario Input Assumptions_Sheet1" xfId="522" xr:uid="{00000000-0005-0000-0000-000084010000}"/>
    <cellStyle name="_Currency_Sheet1_Sheet1" xfId="523" xr:uid="{00000000-0005-0000-0000-000085010000}"/>
    <cellStyle name="_Currency_Sheet1_Sheet1_Data Tape" xfId="524" xr:uid="{00000000-0005-0000-0000-000086010000}"/>
    <cellStyle name="_Currency_Sheet1_Sheet1_Database - Eyechart" xfId="525" xr:uid="{00000000-0005-0000-0000-000087010000}"/>
    <cellStyle name="_Currency_Sheet1_Sheet1_Deal Assumptions" xfId="526" xr:uid="{00000000-0005-0000-0000-000088010000}"/>
    <cellStyle name="_Currency_Sheet1_Sheet1_Model" xfId="527" xr:uid="{00000000-0005-0000-0000-000089010000}"/>
    <cellStyle name="_Currency_Sheet1_Sheet1_Monthly CF Input" xfId="528" xr:uid="{00000000-0005-0000-0000-00008A010000}"/>
    <cellStyle name="_Currency_Sheet1_Sheet1_Property Assumptions" xfId="529" xr:uid="{00000000-0005-0000-0000-00008B010000}"/>
    <cellStyle name="_Currency_Sheet1_Sheet1_RE Valuation 2" xfId="530" xr:uid="{00000000-0005-0000-0000-00008C010000}"/>
    <cellStyle name="_Currency_Sheet1_Sheet1_Sensitivities" xfId="531" xr:uid="{00000000-0005-0000-0000-00008D010000}"/>
    <cellStyle name="_Currency_Sheet1_Sheet2" xfId="532" xr:uid="{00000000-0005-0000-0000-00008E010000}"/>
    <cellStyle name="_Currency_Sheet1_Sheet2_1" xfId="533" xr:uid="{00000000-0005-0000-0000-00008F010000}"/>
    <cellStyle name="_Currency_Sheet1_Sheet3" xfId="534" xr:uid="{00000000-0005-0000-0000-000090010000}"/>
    <cellStyle name="_Currency_Sheet1_Sheet5" xfId="535" xr:uid="{00000000-0005-0000-0000-000091010000}"/>
    <cellStyle name="_Currency_Sheet1_Structure Model_2003_test2" xfId="536" xr:uid="{00000000-0005-0000-0000-000092010000}"/>
    <cellStyle name="_Currency_Sheet1_Structure Model_2003_test2_ControlTables" xfId="537" xr:uid="{00000000-0005-0000-0000-000093010000}"/>
    <cellStyle name="_Currency_Sheet1_Structure Model_2003_test2_ControlTablesI" xfId="538" xr:uid="{00000000-0005-0000-0000-000094010000}"/>
    <cellStyle name="_Currency_Sheet1_Structure Model_2003_test2_DB_Eye" xfId="539" xr:uid="{00000000-0005-0000-0000-000095010000}"/>
    <cellStyle name="_Currency_Sheet1_Structure Model_2003_test2_Exec Summary" xfId="540" xr:uid="{00000000-0005-0000-0000-000096010000}"/>
    <cellStyle name="_Currency_Sheet1_Structure Model_2003_test2_Exec Summary_1" xfId="541" xr:uid="{00000000-0005-0000-0000-000097010000}"/>
    <cellStyle name="_Currency_Sheet1_Structure Model_2003_test2_Sheet1" xfId="542" xr:uid="{00000000-0005-0000-0000-000098010000}"/>
    <cellStyle name="_Currency_Sheet2" xfId="543" xr:uid="{00000000-0005-0000-0000-000099010000}"/>
    <cellStyle name="_Currency_Sheet2_1" xfId="544" xr:uid="{00000000-0005-0000-0000-00009A010000}"/>
    <cellStyle name="_Currency_Sheet3" xfId="545" xr:uid="{00000000-0005-0000-0000-00009B010000}"/>
    <cellStyle name="_Currency_Sheet3_1" xfId="546" xr:uid="{00000000-0005-0000-0000-00009C010000}"/>
    <cellStyle name="_Currency_Sheet3_ControlTables" xfId="547" xr:uid="{00000000-0005-0000-0000-00009D010000}"/>
    <cellStyle name="_Currency_Sheet3_ControlTablesI" xfId="548" xr:uid="{00000000-0005-0000-0000-00009E010000}"/>
    <cellStyle name="_Currency_Sheet3_DB_Eye" xfId="549" xr:uid="{00000000-0005-0000-0000-00009F010000}"/>
    <cellStyle name="_Currency_Sheet3_Exec Summary" xfId="550" xr:uid="{00000000-0005-0000-0000-0000A0010000}"/>
    <cellStyle name="_Currency_Sheet3_Exec Summary_1" xfId="551" xr:uid="{00000000-0005-0000-0000-0000A1010000}"/>
    <cellStyle name="_Currency_Sheet3_Sheet1" xfId="552" xr:uid="{00000000-0005-0000-0000-0000A2010000}"/>
    <cellStyle name="_Currency_Sheet4" xfId="553" xr:uid="{00000000-0005-0000-0000-0000A3010000}"/>
    <cellStyle name="_Currency_Sheet5" xfId="554" xr:uid="{00000000-0005-0000-0000-0000A4010000}"/>
    <cellStyle name="_Currency_Structure Model_2003_test2" xfId="555" xr:uid="{00000000-0005-0000-0000-0000A5010000}"/>
    <cellStyle name="_Currency_Structure Model_2003_test2_ControlTables" xfId="556" xr:uid="{00000000-0005-0000-0000-0000A6010000}"/>
    <cellStyle name="_Currency_Structure Model_2003_test2_ControlTablesI" xfId="557" xr:uid="{00000000-0005-0000-0000-0000A7010000}"/>
    <cellStyle name="_Currency_Structure Model_2003_test2_DB_Eye" xfId="558" xr:uid="{00000000-0005-0000-0000-0000A8010000}"/>
    <cellStyle name="_Currency_Structure Model_2003_test2_Exec Summary" xfId="559" xr:uid="{00000000-0005-0000-0000-0000A9010000}"/>
    <cellStyle name="_Currency_Structure Model_2003_test2_Exec Summary_1" xfId="560" xr:uid="{00000000-0005-0000-0000-0000AA010000}"/>
    <cellStyle name="_Currency_Structure Model_2003_test2_Sheet1" xfId="561" xr:uid="{00000000-0005-0000-0000-0000AB010000}"/>
    <cellStyle name="_CurrencySpace" xfId="562" xr:uid="{00000000-0005-0000-0000-0000AC010000}"/>
    <cellStyle name="_CurrencySpace_3-Yr Eyechart" xfId="563" xr:uid="{00000000-0005-0000-0000-0000AD010000}"/>
    <cellStyle name="_CurrencySpace_Balance Sheet" xfId="564" xr:uid="{00000000-0005-0000-0000-0000AE010000}"/>
    <cellStyle name="_CurrencySpace_Balance Sheet_ControlTables" xfId="565" xr:uid="{00000000-0005-0000-0000-0000AF010000}"/>
    <cellStyle name="_CurrencySpace_Balance Sheet_ControlTablesI" xfId="566" xr:uid="{00000000-0005-0000-0000-0000B0010000}"/>
    <cellStyle name="_CurrencySpace_Balance Sheet_DB_Eye" xfId="567" xr:uid="{00000000-0005-0000-0000-0000B1010000}"/>
    <cellStyle name="_CurrencySpace_Balance Sheet_Exec Summary" xfId="568" xr:uid="{00000000-0005-0000-0000-0000B2010000}"/>
    <cellStyle name="_CurrencySpace_Balance Sheet_Exec Summary_1" xfId="569" xr:uid="{00000000-0005-0000-0000-0000B3010000}"/>
    <cellStyle name="_CurrencySpace_Balance Sheet_Sheet1" xfId="570" xr:uid="{00000000-0005-0000-0000-0000B4010000}"/>
    <cellStyle name="_CurrencySpace_ControlTables" xfId="571" xr:uid="{00000000-0005-0000-0000-0000B5010000}"/>
    <cellStyle name="_CurrencySpace_ControlTablesI" xfId="572" xr:uid="{00000000-0005-0000-0000-0000B6010000}"/>
    <cellStyle name="_CurrencySpace_Cost Of Funds" xfId="573" xr:uid="{00000000-0005-0000-0000-0000B7010000}"/>
    <cellStyle name="_CurrencySpace_Criteria" xfId="574" xr:uid="{00000000-0005-0000-0000-0000B8010000}"/>
    <cellStyle name="_CurrencySpace_Criteria Test Export" xfId="575" xr:uid="{00000000-0005-0000-0000-0000B9010000}"/>
    <cellStyle name="_CurrencySpace_Criteria_ControlTables" xfId="576" xr:uid="{00000000-0005-0000-0000-0000BA010000}"/>
    <cellStyle name="_CurrencySpace_Criteria_ControlTablesI" xfId="577" xr:uid="{00000000-0005-0000-0000-0000BB010000}"/>
    <cellStyle name="_CurrencySpace_Criteria_DB_Eye" xfId="578" xr:uid="{00000000-0005-0000-0000-0000BC010000}"/>
    <cellStyle name="_CurrencySpace_Criteria_Exec Summary" xfId="579" xr:uid="{00000000-0005-0000-0000-0000BD010000}"/>
    <cellStyle name="_CurrencySpace_Criteria_Exec Summary_1" xfId="580" xr:uid="{00000000-0005-0000-0000-0000BE010000}"/>
    <cellStyle name="_CurrencySpace_Criteria_Sheet1" xfId="581" xr:uid="{00000000-0005-0000-0000-0000BF010000}"/>
    <cellStyle name="_CurrencySpace_Data Tape" xfId="582" xr:uid="{00000000-0005-0000-0000-0000C0010000}"/>
    <cellStyle name="_CurrencySpace_Data Tape_1" xfId="583" xr:uid="{00000000-0005-0000-0000-0000C1010000}"/>
    <cellStyle name="_CurrencySpace_Data Tape_ControlTables" xfId="584" xr:uid="{00000000-0005-0000-0000-0000C2010000}"/>
    <cellStyle name="_CurrencySpace_Data Tape_ControlTablesI" xfId="585" xr:uid="{00000000-0005-0000-0000-0000C3010000}"/>
    <cellStyle name="_CurrencySpace_Data Tape_DB_Eye" xfId="586" xr:uid="{00000000-0005-0000-0000-0000C4010000}"/>
    <cellStyle name="_CurrencySpace_Data Tape_Exec Summary" xfId="587" xr:uid="{00000000-0005-0000-0000-0000C5010000}"/>
    <cellStyle name="_CurrencySpace_Data Tape_Exec Summary_1" xfId="588" xr:uid="{00000000-0005-0000-0000-0000C6010000}"/>
    <cellStyle name="_CurrencySpace_Data Tape_Sheet1" xfId="589" xr:uid="{00000000-0005-0000-0000-0000C7010000}"/>
    <cellStyle name="_CurrencySpace_Data_Tape" xfId="590" xr:uid="{00000000-0005-0000-0000-0000C8010000}"/>
    <cellStyle name="_CurrencySpace_Database - Economics" xfId="591" xr:uid="{00000000-0005-0000-0000-0000C9010000}"/>
    <cellStyle name="_CurrencySpace_DB_Eye" xfId="592" xr:uid="{00000000-0005-0000-0000-0000CA010000}"/>
    <cellStyle name="_CurrencySpace_Deal Input" xfId="593" xr:uid="{00000000-0005-0000-0000-0000CB010000}"/>
    <cellStyle name="_CurrencySpace_Direct Cap Eye" xfId="594" xr:uid="{00000000-0005-0000-0000-0000CC010000}"/>
    <cellStyle name="_CurrencySpace_DPEM2005_vBetatest6" xfId="595" xr:uid="{00000000-0005-0000-0000-0000CD010000}"/>
    <cellStyle name="_CurrencySpace_ETR" xfId="596" xr:uid="{00000000-0005-0000-0000-0000CE010000}"/>
    <cellStyle name="_CurrencySpace_Exec Summary" xfId="597" xr:uid="{00000000-0005-0000-0000-0000CF010000}"/>
    <cellStyle name="_CurrencySpace_Exec Summary_1" xfId="598" xr:uid="{00000000-0005-0000-0000-0000D0010000}"/>
    <cellStyle name="_CurrencySpace_Existing Debt" xfId="599" xr:uid="{00000000-0005-0000-0000-0000D1010000}"/>
    <cellStyle name="_CurrencySpace_EyeChart" xfId="600" xr:uid="{00000000-0005-0000-0000-0000D2010000}"/>
    <cellStyle name="_CurrencySpace_EyeChart 090503" xfId="601" xr:uid="{00000000-0005-0000-0000-0000D3010000}"/>
    <cellStyle name="_CurrencySpace_Input" xfId="602" xr:uid="{00000000-0005-0000-0000-0000D4010000}"/>
    <cellStyle name="_CurrencySpace_Input_1" xfId="603" xr:uid="{00000000-0005-0000-0000-0000D5010000}"/>
    <cellStyle name="_CurrencySpace_Input_ControlTables" xfId="604" xr:uid="{00000000-0005-0000-0000-0000D6010000}"/>
    <cellStyle name="_CurrencySpace_Input_ControlTablesI" xfId="605" xr:uid="{00000000-0005-0000-0000-0000D7010000}"/>
    <cellStyle name="_CurrencySpace_Input_Data Tape" xfId="606" xr:uid="{00000000-0005-0000-0000-0000D8010000}"/>
    <cellStyle name="_CurrencySpace_Input_Database - Economics" xfId="607" xr:uid="{00000000-0005-0000-0000-0000D9010000}"/>
    <cellStyle name="_CurrencySpace_Input_DB_Eye" xfId="608" xr:uid="{00000000-0005-0000-0000-0000DA010000}"/>
    <cellStyle name="_CurrencySpace_Input_Exec Summary" xfId="609" xr:uid="{00000000-0005-0000-0000-0000DB010000}"/>
    <cellStyle name="_CurrencySpace_Input_Exec Summary_1" xfId="610" xr:uid="{00000000-0005-0000-0000-0000DC010000}"/>
    <cellStyle name="_CurrencySpace_Input_Sheet1" xfId="611" xr:uid="{00000000-0005-0000-0000-0000DD010000}"/>
    <cellStyle name="_CurrencySpace_JV Economics" xfId="612" xr:uid="{00000000-0005-0000-0000-0000DE010000}"/>
    <cellStyle name="_CurrencySpace_M&amp;A Feed" xfId="613" xr:uid="{00000000-0005-0000-0000-0000DF010000}"/>
    <cellStyle name="_CurrencySpace_NPV Case Eyechart" xfId="614" xr:uid="{00000000-0005-0000-0000-0000E0010000}"/>
    <cellStyle name="_CurrencySpace_Pools" xfId="615" xr:uid="{00000000-0005-0000-0000-0000E1010000}"/>
    <cellStyle name="_CurrencySpace_Pools_1" xfId="616" xr:uid="{00000000-0005-0000-0000-0000E2010000}"/>
    <cellStyle name="_CurrencySpace_Portfolio Valuation" xfId="617" xr:uid="{00000000-0005-0000-0000-0000E3010000}"/>
    <cellStyle name="_CurrencySpace_Pricing" xfId="618" xr:uid="{00000000-0005-0000-0000-0000E4010000}"/>
    <cellStyle name="_CurrencySpace_Prop 13" xfId="619" xr:uid="{00000000-0005-0000-0000-0000E5010000}"/>
    <cellStyle name="_CurrencySpace_Prop 13 Data" xfId="620" xr:uid="{00000000-0005-0000-0000-0000E6010000}"/>
    <cellStyle name="_CurrencySpace_Prop 13 Summary-11-10" xfId="621" xr:uid="{00000000-0005-0000-0000-0000E7010000}"/>
    <cellStyle name="_CurrencySpace_Property Assumptions" xfId="622" xr:uid="{00000000-0005-0000-0000-0000E8010000}"/>
    <cellStyle name="_CurrencySpace_Property Assumptions_1" xfId="623" xr:uid="{00000000-0005-0000-0000-0000E9010000}"/>
    <cellStyle name="_CurrencySpace_Quick Property Input" xfId="624" xr:uid="{00000000-0005-0000-0000-0000EA010000}"/>
    <cellStyle name="_CurrencySpace_Senario Input Assumptions" xfId="625" xr:uid="{00000000-0005-0000-0000-0000EB010000}"/>
    <cellStyle name="_CurrencySpace_Senario Input Assumptions_ControlTables" xfId="626" xr:uid="{00000000-0005-0000-0000-0000EC010000}"/>
    <cellStyle name="_CurrencySpace_Senario Input Assumptions_ControlTablesI" xfId="627" xr:uid="{00000000-0005-0000-0000-0000ED010000}"/>
    <cellStyle name="_CurrencySpace_Senario Input Assumptions_DB_Eye" xfId="628" xr:uid="{00000000-0005-0000-0000-0000EE010000}"/>
    <cellStyle name="_CurrencySpace_Senario Input Assumptions_Exec Summary" xfId="629" xr:uid="{00000000-0005-0000-0000-0000EF010000}"/>
    <cellStyle name="_CurrencySpace_Senario Input Assumptions_Exec Summary_1" xfId="630" xr:uid="{00000000-0005-0000-0000-0000F0010000}"/>
    <cellStyle name="_CurrencySpace_Senario Input Assumptions_Sheet1" xfId="631" xr:uid="{00000000-0005-0000-0000-0000F1010000}"/>
    <cellStyle name="_CurrencySpace_Sheet1" xfId="632" xr:uid="{00000000-0005-0000-0000-0000F2010000}"/>
    <cellStyle name="_CurrencySpace_Sheet1_1" xfId="633" xr:uid="{00000000-0005-0000-0000-0000F3010000}"/>
    <cellStyle name="_CurrencySpace_Sheet1_3-Yr Eyechart" xfId="634" xr:uid="{00000000-0005-0000-0000-0000F4010000}"/>
    <cellStyle name="_CurrencySpace_Sheet1_Balance Sheet" xfId="635" xr:uid="{00000000-0005-0000-0000-0000F5010000}"/>
    <cellStyle name="_CurrencySpace_Sheet1_Cost Of Funds" xfId="636" xr:uid="{00000000-0005-0000-0000-0000F6010000}"/>
    <cellStyle name="_CurrencySpace_Sheet1_Criteria" xfId="637" xr:uid="{00000000-0005-0000-0000-0000F7010000}"/>
    <cellStyle name="_CurrencySpace_Sheet1_Criteria Test Export" xfId="638" xr:uid="{00000000-0005-0000-0000-0000F8010000}"/>
    <cellStyle name="_CurrencySpace_Sheet1_Data Tape" xfId="639" xr:uid="{00000000-0005-0000-0000-0000F9010000}"/>
    <cellStyle name="_CurrencySpace_Sheet1_Data Tape_1" xfId="640" xr:uid="{00000000-0005-0000-0000-0000FA010000}"/>
    <cellStyle name="_CurrencySpace_Sheet1_Data_Tape" xfId="641" xr:uid="{00000000-0005-0000-0000-0000FB010000}"/>
    <cellStyle name="_CurrencySpace_Sheet1_Data_Tape_ControlTables" xfId="642" xr:uid="{00000000-0005-0000-0000-0000FC010000}"/>
    <cellStyle name="_CurrencySpace_Sheet1_Data_Tape_ControlTablesI" xfId="643" xr:uid="{00000000-0005-0000-0000-0000FD010000}"/>
    <cellStyle name="_CurrencySpace_Sheet1_Data_Tape_DB_Eye" xfId="644" xr:uid="{00000000-0005-0000-0000-0000FE010000}"/>
    <cellStyle name="_CurrencySpace_Sheet1_Data_Tape_Exec Summary" xfId="645" xr:uid="{00000000-0005-0000-0000-0000FF010000}"/>
    <cellStyle name="_CurrencySpace_Sheet1_Data_Tape_Exec Summary_1" xfId="646" xr:uid="{00000000-0005-0000-0000-000000020000}"/>
    <cellStyle name="_CurrencySpace_Sheet1_Data_Tape_Sheet1" xfId="647" xr:uid="{00000000-0005-0000-0000-000001020000}"/>
    <cellStyle name="_CurrencySpace_Sheet1_Database - Economics" xfId="648" xr:uid="{00000000-0005-0000-0000-000002020000}"/>
    <cellStyle name="_CurrencySpace_Sheet1_Deal Input" xfId="649" xr:uid="{00000000-0005-0000-0000-000003020000}"/>
    <cellStyle name="_CurrencySpace_Sheet1_Direct Cap Eye" xfId="650" xr:uid="{00000000-0005-0000-0000-000004020000}"/>
    <cellStyle name="_CurrencySpace_Sheet1_DPEM2005_vBetatest6" xfId="651" xr:uid="{00000000-0005-0000-0000-000005020000}"/>
    <cellStyle name="_CurrencySpace_Sheet1_ETR" xfId="652" xr:uid="{00000000-0005-0000-0000-000006020000}"/>
    <cellStyle name="_CurrencySpace_Sheet1_Existing Debt" xfId="653" xr:uid="{00000000-0005-0000-0000-000007020000}"/>
    <cellStyle name="_CurrencySpace_Sheet1_Input" xfId="654" xr:uid="{00000000-0005-0000-0000-000008020000}"/>
    <cellStyle name="_CurrencySpace_Sheet1_Input_1" xfId="655" xr:uid="{00000000-0005-0000-0000-000009020000}"/>
    <cellStyle name="_CurrencySpace_Sheet1_Input_Data Tape" xfId="656" xr:uid="{00000000-0005-0000-0000-00000A020000}"/>
    <cellStyle name="_CurrencySpace_Sheet1_Input_Database - Economics" xfId="657" xr:uid="{00000000-0005-0000-0000-00000B020000}"/>
    <cellStyle name="_CurrencySpace_Sheet1_M&amp;A Feed" xfId="658" xr:uid="{00000000-0005-0000-0000-00000C020000}"/>
    <cellStyle name="_CurrencySpace_Sheet1_NPV Case Eyechart" xfId="659" xr:uid="{00000000-0005-0000-0000-00000D020000}"/>
    <cellStyle name="_CurrencySpace_Sheet1_Pools" xfId="660" xr:uid="{00000000-0005-0000-0000-00000E020000}"/>
    <cellStyle name="_CurrencySpace_Sheet1_Pools_1" xfId="661" xr:uid="{00000000-0005-0000-0000-00000F020000}"/>
    <cellStyle name="_CurrencySpace_Sheet1_Pools_ControlTables" xfId="662" xr:uid="{00000000-0005-0000-0000-000010020000}"/>
    <cellStyle name="_CurrencySpace_Sheet1_Pools_ControlTablesI" xfId="663" xr:uid="{00000000-0005-0000-0000-000011020000}"/>
    <cellStyle name="_CurrencySpace_Sheet1_Pools_DB_Eye" xfId="664" xr:uid="{00000000-0005-0000-0000-000012020000}"/>
    <cellStyle name="_CurrencySpace_Sheet1_Pools_Exec Summary" xfId="665" xr:uid="{00000000-0005-0000-0000-000013020000}"/>
    <cellStyle name="_CurrencySpace_Sheet1_Pools_Exec Summary_1" xfId="666" xr:uid="{00000000-0005-0000-0000-000014020000}"/>
    <cellStyle name="_CurrencySpace_Sheet1_Pools_Sheet1" xfId="667" xr:uid="{00000000-0005-0000-0000-000015020000}"/>
    <cellStyle name="_CurrencySpace_Sheet1_Portfolio Valuation" xfId="668" xr:uid="{00000000-0005-0000-0000-000016020000}"/>
    <cellStyle name="_CurrencySpace_Sheet1_Prop 13" xfId="669" xr:uid="{00000000-0005-0000-0000-000017020000}"/>
    <cellStyle name="_CurrencySpace_Sheet1_Prop 13 Data" xfId="670" xr:uid="{00000000-0005-0000-0000-000018020000}"/>
    <cellStyle name="_CurrencySpace_Sheet1_Prop 13 Summary-11-10" xfId="671" xr:uid="{00000000-0005-0000-0000-000019020000}"/>
    <cellStyle name="_CurrencySpace_Sheet1_Property Assumptions" xfId="672" xr:uid="{00000000-0005-0000-0000-00001A020000}"/>
    <cellStyle name="_CurrencySpace_Sheet1_Property Assumptions_1" xfId="673" xr:uid="{00000000-0005-0000-0000-00001B020000}"/>
    <cellStyle name="_CurrencySpace_Sheet1_Quick Property Input" xfId="674" xr:uid="{00000000-0005-0000-0000-00001C020000}"/>
    <cellStyle name="_CurrencySpace_Sheet1_Senario Input Assumptions" xfId="675" xr:uid="{00000000-0005-0000-0000-00001D020000}"/>
    <cellStyle name="_CurrencySpace_Sheet1_Sheet1" xfId="676" xr:uid="{00000000-0005-0000-0000-00001E020000}"/>
    <cellStyle name="_CurrencySpace_Sheet1_Sheet2" xfId="677" xr:uid="{00000000-0005-0000-0000-00001F020000}"/>
    <cellStyle name="_CurrencySpace_Sheet1_Sheet2_1" xfId="678" xr:uid="{00000000-0005-0000-0000-000020020000}"/>
    <cellStyle name="_CurrencySpace_Sheet1_Sheet3" xfId="679" xr:uid="{00000000-0005-0000-0000-000021020000}"/>
    <cellStyle name="_CurrencySpace_Sheet1_Sheet5" xfId="680" xr:uid="{00000000-0005-0000-0000-000022020000}"/>
    <cellStyle name="_CurrencySpace_Sheet1_Structure Model_2003_test2" xfId="681" xr:uid="{00000000-0005-0000-0000-000023020000}"/>
    <cellStyle name="_CurrencySpace_Sheet2" xfId="682" xr:uid="{00000000-0005-0000-0000-000024020000}"/>
    <cellStyle name="_CurrencySpace_Sheet2_1" xfId="683" xr:uid="{00000000-0005-0000-0000-000025020000}"/>
    <cellStyle name="_CurrencySpace_Sheet3" xfId="684" xr:uid="{00000000-0005-0000-0000-000026020000}"/>
    <cellStyle name="_CurrencySpace_Sheet3_1" xfId="685" xr:uid="{00000000-0005-0000-0000-000027020000}"/>
    <cellStyle name="_CurrencySpace_Sheet4" xfId="686" xr:uid="{00000000-0005-0000-0000-000028020000}"/>
    <cellStyle name="_CurrencySpace_Sheet5" xfId="687" xr:uid="{00000000-0005-0000-0000-000029020000}"/>
    <cellStyle name="_CurrencySpace_Structure Model_2003_test2" xfId="688" xr:uid="{00000000-0005-0000-0000-00002A020000}"/>
    <cellStyle name="_CurrencySpace_Structure Model_2003_test2_ControlTables" xfId="689" xr:uid="{00000000-0005-0000-0000-00002B020000}"/>
    <cellStyle name="_CurrencySpace_Structure Model_2003_test2_ControlTablesI" xfId="690" xr:uid="{00000000-0005-0000-0000-00002C020000}"/>
    <cellStyle name="_CurrencySpace_Structure Model_2003_test2_DB_Eye" xfId="691" xr:uid="{00000000-0005-0000-0000-00002D020000}"/>
    <cellStyle name="_CurrencySpace_Structure Model_2003_test2_Exec Summary" xfId="692" xr:uid="{00000000-0005-0000-0000-00002E020000}"/>
    <cellStyle name="_CurrencySpace_Structure Model_2003_test2_Exec Summary_1" xfId="693" xr:uid="{00000000-0005-0000-0000-00002F020000}"/>
    <cellStyle name="_CurrencySpace_Structure Model_2003_test2_Sheet1" xfId="694" xr:uid="{00000000-0005-0000-0000-000030020000}"/>
    <cellStyle name="_Euro" xfId="695" xr:uid="{00000000-0005-0000-0000-000031020000}"/>
    <cellStyle name="_Euro_ControlTables" xfId="696" xr:uid="{00000000-0005-0000-0000-000032020000}"/>
    <cellStyle name="_Euro_ControlTablesI" xfId="697" xr:uid="{00000000-0005-0000-0000-000033020000}"/>
    <cellStyle name="_Euro_DB Eye" xfId="698" xr:uid="{00000000-0005-0000-0000-000034020000}"/>
    <cellStyle name="_Euro_DB_Eye" xfId="699" xr:uid="{00000000-0005-0000-0000-000035020000}"/>
    <cellStyle name="_Euro_Exec Summary" xfId="700" xr:uid="{00000000-0005-0000-0000-000036020000}"/>
    <cellStyle name="_Euro_Sheet1" xfId="701" xr:uid="{00000000-0005-0000-0000-000037020000}"/>
    <cellStyle name="_Existing Debt" xfId="702" xr:uid="{00000000-0005-0000-0000-000038020000}"/>
    <cellStyle name="_Heading" xfId="703" xr:uid="{00000000-0005-0000-0000-000039020000}"/>
    <cellStyle name="_Highlight" xfId="704" xr:uid="{00000000-0005-0000-0000-00003A020000}"/>
    <cellStyle name="_Multiple" xfId="705" xr:uid="{00000000-0005-0000-0000-00003B020000}"/>
    <cellStyle name="_Multiple_3-Yr Eyechart" xfId="706" xr:uid="{00000000-0005-0000-0000-00003C020000}"/>
    <cellStyle name="_Multiple_ARI Base Case July 25 TPS1" xfId="707" xr:uid="{00000000-0005-0000-0000-00003D020000}"/>
    <cellStyle name="_Multiple_Balance Sheet" xfId="708" xr:uid="{00000000-0005-0000-0000-00003E020000}"/>
    <cellStyle name="_Multiple_Cost Of Funds" xfId="709" xr:uid="{00000000-0005-0000-0000-00003F020000}"/>
    <cellStyle name="_Multiple_Criteria" xfId="710" xr:uid="{00000000-0005-0000-0000-000040020000}"/>
    <cellStyle name="_Multiple_Criteria Test Export" xfId="711" xr:uid="{00000000-0005-0000-0000-000041020000}"/>
    <cellStyle name="_Multiple_Data Tape" xfId="712" xr:uid="{00000000-0005-0000-0000-000042020000}"/>
    <cellStyle name="_Multiple_Data Tape_1" xfId="713" xr:uid="{00000000-0005-0000-0000-000043020000}"/>
    <cellStyle name="_Multiple_Data_Tape" xfId="714" xr:uid="{00000000-0005-0000-0000-000044020000}"/>
    <cellStyle name="_Multiple_DB_Eye" xfId="715" xr:uid="{00000000-0005-0000-0000-000045020000}"/>
    <cellStyle name="_Multiple_Deal Input" xfId="716" xr:uid="{00000000-0005-0000-0000-000046020000}"/>
    <cellStyle name="_Multiple_Direct Cap Eye" xfId="717" xr:uid="{00000000-0005-0000-0000-000047020000}"/>
    <cellStyle name="_Multiple_DPEM2005_vBetatest6" xfId="718" xr:uid="{00000000-0005-0000-0000-000048020000}"/>
    <cellStyle name="_Multiple_ETR" xfId="719" xr:uid="{00000000-0005-0000-0000-000049020000}"/>
    <cellStyle name="_Multiple_Existing Debt" xfId="720" xr:uid="{00000000-0005-0000-0000-00004A020000}"/>
    <cellStyle name="_Multiple_Existing Debt_1" xfId="721" xr:uid="{00000000-0005-0000-0000-00004B020000}"/>
    <cellStyle name="_Multiple_EyeChart" xfId="722" xr:uid="{00000000-0005-0000-0000-00004C020000}"/>
    <cellStyle name="_Multiple_EyeChart 090503" xfId="723" xr:uid="{00000000-0005-0000-0000-00004D020000}"/>
    <cellStyle name="_Multiple_Input" xfId="724" xr:uid="{00000000-0005-0000-0000-00004E020000}"/>
    <cellStyle name="_Multiple_Input_1" xfId="725" xr:uid="{00000000-0005-0000-0000-00004F020000}"/>
    <cellStyle name="_Multiple_Input_Data Tape" xfId="726" xr:uid="{00000000-0005-0000-0000-000050020000}"/>
    <cellStyle name="_Multiple_JV Economics" xfId="727" xr:uid="{00000000-0005-0000-0000-000051020000}"/>
    <cellStyle name="_Multiple_M&amp;A Feed" xfId="728" xr:uid="{00000000-0005-0000-0000-000052020000}"/>
    <cellStyle name="_Multiple_NPV Case Eyechart" xfId="729" xr:uid="{00000000-0005-0000-0000-000053020000}"/>
    <cellStyle name="_Multiple_Pools" xfId="730" xr:uid="{00000000-0005-0000-0000-000054020000}"/>
    <cellStyle name="_Multiple_Pools_1" xfId="731" xr:uid="{00000000-0005-0000-0000-000055020000}"/>
    <cellStyle name="_Multiple_Portfolio Valuation" xfId="732" xr:uid="{00000000-0005-0000-0000-000056020000}"/>
    <cellStyle name="_Multiple_Pricing" xfId="733" xr:uid="{00000000-0005-0000-0000-000057020000}"/>
    <cellStyle name="_Multiple_Prop 13" xfId="734" xr:uid="{00000000-0005-0000-0000-000058020000}"/>
    <cellStyle name="_Multiple_Prop 13 Data" xfId="735" xr:uid="{00000000-0005-0000-0000-000059020000}"/>
    <cellStyle name="_Multiple_Prop 13 Summary-11-10" xfId="736" xr:uid="{00000000-0005-0000-0000-00005A020000}"/>
    <cellStyle name="_Multiple_Property Assumptions" xfId="737" xr:uid="{00000000-0005-0000-0000-00005B020000}"/>
    <cellStyle name="_Multiple_Property Assumptions_1" xfId="738" xr:uid="{00000000-0005-0000-0000-00005C020000}"/>
    <cellStyle name="_Multiple_Quick Property Input" xfId="739" xr:uid="{00000000-0005-0000-0000-00005D020000}"/>
    <cellStyle name="_Multiple_Senario Input Assumptions" xfId="740" xr:uid="{00000000-0005-0000-0000-00005E020000}"/>
    <cellStyle name="_Multiple_Sheet1" xfId="741" xr:uid="{00000000-0005-0000-0000-00005F020000}"/>
    <cellStyle name="_Multiple_Sheet1_3-Yr Eyechart" xfId="742" xr:uid="{00000000-0005-0000-0000-000060020000}"/>
    <cellStyle name="_Multiple_Sheet1_Balance Sheet" xfId="743" xr:uid="{00000000-0005-0000-0000-000061020000}"/>
    <cellStyle name="_Multiple_Sheet1_Cost Of Funds" xfId="744" xr:uid="{00000000-0005-0000-0000-000062020000}"/>
    <cellStyle name="_Multiple_Sheet1_Criteria" xfId="745" xr:uid="{00000000-0005-0000-0000-000063020000}"/>
    <cellStyle name="_Multiple_Sheet1_Criteria Test Export" xfId="746" xr:uid="{00000000-0005-0000-0000-000064020000}"/>
    <cellStyle name="_Multiple_Sheet1_Data Tape" xfId="747" xr:uid="{00000000-0005-0000-0000-000065020000}"/>
    <cellStyle name="_Multiple_Sheet1_Data Tape_1" xfId="748" xr:uid="{00000000-0005-0000-0000-000066020000}"/>
    <cellStyle name="_Multiple_Sheet1_Data_Tape" xfId="749" xr:uid="{00000000-0005-0000-0000-000067020000}"/>
    <cellStyle name="_Multiple_Sheet1_Deal Input" xfId="750" xr:uid="{00000000-0005-0000-0000-000068020000}"/>
    <cellStyle name="_Multiple_Sheet1_Direct Cap Eye" xfId="751" xr:uid="{00000000-0005-0000-0000-000069020000}"/>
    <cellStyle name="_Multiple_Sheet1_DPEM2005_vBetatest6" xfId="752" xr:uid="{00000000-0005-0000-0000-00006A020000}"/>
    <cellStyle name="_Multiple_Sheet1_ETR" xfId="753" xr:uid="{00000000-0005-0000-0000-00006B020000}"/>
    <cellStyle name="_Multiple_Sheet1_Existing Debt" xfId="754" xr:uid="{00000000-0005-0000-0000-00006C020000}"/>
    <cellStyle name="_Multiple_Sheet1_Input" xfId="755" xr:uid="{00000000-0005-0000-0000-00006D020000}"/>
    <cellStyle name="_Multiple_Sheet1_Input_1" xfId="756" xr:uid="{00000000-0005-0000-0000-00006E020000}"/>
    <cellStyle name="_Multiple_Sheet1_Input_Data Tape" xfId="757" xr:uid="{00000000-0005-0000-0000-00006F020000}"/>
    <cellStyle name="_Multiple_Sheet1_M&amp;A Feed" xfId="758" xr:uid="{00000000-0005-0000-0000-000070020000}"/>
    <cellStyle name="_Multiple_Sheet1_NPV Case Eyechart" xfId="759" xr:uid="{00000000-0005-0000-0000-000071020000}"/>
    <cellStyle name="_Multiple_Sheet1_Pools" xfId="760" xr:uid="{00000000-0005-0000-0000-000072020000}"/>
    <cellStyle name="_Multiple_Sheet1_Pools_1" xfId="761" xr:uid="{00000000-0005-0000-0000-000073020000}"/>
    <cellStyle name="_Multiple_Sheet1_Portfolio Valuation" xfId="762" xr:uid="{00000000-0005-0000-0000-000074020000}"/>
    <cellStyle name="_Multiple_Sheet1_Prop 13" xfId="763" xr:uid="{00000000-0005-0000-0000-000075020000}"/>
    <cellStyle name="_Multiple_Sheet1_Prop 13 Data" xfId="764" xr:uid="{00000000-0005-0000-0000-000076020000}"/>
    <cellStyle name="_Multiple_Sheet1_Prop 13 Summary-11-10" xfId="765" xr:uid="{00000000-0005-0000-0000-000077020000}"/>
    <cellStyle name="_Multiple_Sheet1_Property Assumptions" xfId="766" xr:uid="{00000000-0005-0000-0000-000078020000}"/>
    <cellStyle name="_Multiple_Sheet1_Property Assumptions_1" xfId="767" xr:uid="{00000000-0005-0000-0000-000079020000}"/>
    <cellStyle name="_Multiple_Sheet1_Quick Property Input" xfId="768" xr:uid="{00000000-0005-0000-0000-00007A020000}"/>
    <cellStyle name="_Multiple_Sheet1_Senario Input Assumptions" xfId="769" xr:uid="{00000000-0005-0000-0000-00007B020000}"/>
    <cellStyle name="_Multiple_Sheet1_Sheet1" xfId="770" xr:uid="{00000000-0005-0000-0000-00007C020000}"/>
    <cellStyle name="_Multiple_Sheet1_Sheet2" xfId="771" xr:uid="{00000000-0005-0000-0000-00007D020000}"/>
    <cellStyle name="_Multiple_Sheet1_Sheet2_1" xfId="772" xr:uid="{00000000-0005-0000-0000-00007E020000}"/>
    <cellStyle name="_Multiple_Sheet1_Sheet3" xfId="773" xr:uid="{00000000-0005-0000-0000-00007F020000}"/>
    <cellStyle name="_Multiple_Sheet1_Sheet5" xfId="774" xr:uid="{00000000-0005-0000-0000-000080020000}"/>
    <cellStyle name="_Multiple_Sheet1_Structure Model_2003_test2" xfId="775" xr:uid="{00000000-0005-0000-0000-000081020000}"/>
    <cellStyle name="_Multiple_Sheet2" xfId="776" xr:uid="{00000000-0005-0000-0000-000082020000}"/>
    <cellStyle name="_Multiple_Sheet2_1" xfId="777" xr:uid="{00000000-0005-0000-0000-000083020000}"/>
    <cellStyle name="_Multiple_Sheet3" xfId="778" xr:uid="{00000000-0005-0000-0000-000084020000}"/>
    <cellStyle name="_Multiple_Sheet3_1" xfId="779" xr:uid="{00000000-0005-0000-0000-000085020000}"/>
    <cellStyle name="_Multiple_Sheet4" xfId="780" xr:uid="{00000000-0005-0000-0000-000086020000}"/>
    <cellStyle name="_Multiple_Sheet5" xfId="781" xr:uid="{00000000-0005-0000-0000-000087020000}"/>
    <cellStyle name="_Multiple_Structure Model_2003_test2" xfId="782" xr:uid="{00000000-0005-0000-0000-000088020000}"/>
    <cellStyle name="_MultipleSpace" xfId="783" xr:uid="{00000000-0005-0000-0000-000089020000}"/>
    <cellStyle name="_MultipleSpace_ARI Base Case July 25 TPS1" xfId="784" xr:uid="{00000000-0005-0000-0000-00008A020000}"/>
    <cellStyle name="_MultipleSpace_DB_Eye" xfId="785" xr:uid="{00000000-0005-0000-0000-00008B020000}"/>
    <cellStyle name="_MultipleSpace_Existing Debt" xfId="786" xr:uid="{00000000-0005-0000-0000-00008C020000}"/>
    <cellStyle name="_MultipleSpace_EyeChart" xfId="787" xr:uid="{00000000-0005-0000-0000-00008D020000}"/>
    <cellStyle name="_MultipleSpace_EyeChart 090503" xfId="788" xr:uid="{00000000-0005-0000-0000-00008E020000}"/>
    <cellStyle name="_MultipleSpace_Input" xfId="789" xr:uid="{00000000-0005-0000-0000-00008F020000}"/>
    <cellStyle name="_MultipleSpace_Input_1" xfId="790" xr:uid="{00000000-0005-0000-0000-000090020000}"/>
    <cellStyle name="_MultipleSpace_Pricing" xfId="791" xr:uid="{00000000-0005-0000-0000-000091020000}"/>
    <cellStyle name="_MultipleSpace_Sheet2" xfId="792" xr:uid="{00000000-0005-0000-0000-000092020000}"/>
    <cellStyle name="_MultipleSpace_Sheet4" xfId="793" xr:uid="{00000000-0005-0000-0000-000093020000}"/>
    <cellStyle name="_Percent" xfId="794" xr:uid="{00000000-0005-0000-0000-000094020000}"/>
    <cellStyle name="_Percent_ARI Base Case July 25 TPS1" xfId="795" xr:uid="{00000000-0005-0000-0000-000095020000}"/>
    <cellStyle name="_Percent_Existing Debt" xfId="796" xr:uid="{00000000-0005-0000-0000-000096020000}"/>
    <cellStyle name="_PercentSpace" xfId="797" xr:uid="{00000000-0005-0000-0000-000097020000}"/>
    <cellStyle name="_PercentSpace_ARI Base Case July 25 TPS1" xfId="798" xr:uid="{00000000-0005-0000-0000-000098020000}"/>
    <cellStyle name="_PercentSpace_Existing Debt" xfId="799" xr:uid="{00000000-0005-0000-0000-000099020000}"/>
    <cellStyle name="_SubHeading" xfId="800" xr:uid="{00000000-0005-0000-0000-00009A020000}"/>
    <cellStyle name="_Table" xfId="801" xr:uid="{00000000-0005-0000-0000-00009B020000}"/>
    <cellStyle name="_TableHead" xfId="802" xr:uid="{00000000-0005-0000-0000-00009C020000}"/>
    <cellStyle name="_TableRowHead" xfId="803" xr:uid="{00000000-0005-0000-0000-00009D020000}"/>
    <cellStyle name="_TableSuperHead" xfId="804" xr:uid="{00000000-0005-0000-0000-00009E020000}"/>
    <cellStyle name="0.0 x" xfId="805" xr:uid="{00000000-0005-0000-0000-0000A2020000}"/>
    <cellStyle name="000" xfId="806" xr:uid="{00000000-0005-0000-0000-0000A3020000}"/>
    <cellStyle name="1" xfId="807" xr:uid="{00000000-0005-0000-0000-0000A4020000}"/>
    <cellStyle name="1_03-05-31 Final OBS Reports" xfId="808" xr:uid="{00000000-0005-0000-0000-0000A5020000}"/>
    <cellStyle name="1_GMACCH_Loans_OBS_033103_Final_v2" xfId="809" xr:uid="{00000000-0005-0000-0000-0000A6020000}"/>
    <cellStyle name="1_Japan - 3Q02 Risk Rating Worksheet - 101602_Japan" xfId="810" xr:uid="{00000000-0005-0000-0000-0000A7020000}"/>
    <cellStyle name="1_Japan - 3Q02 Risk Rating Worksheet - 101602_Japan_Comparison vs. prior_Q2 2003" xfId="811" xr:uid="{00000000-0005-0000-0000-0000A8020000}"/>
    <cellStyle name="1_Japan - 4Q2002 - Risk Rating Worksheet_final" xfId="812" xr:uid="{00000000-0005-0000-0000-0000A9020000}"/>
    <cellStyle name="1_Japan - 4Q2002 - Risk Rating Worksheet_final_12.11.2002" xfId="813" xr:uid="{00000000-0005-0000-0000-0000AA020000}"/>
    <cellStyle name="1_Japan - 4Q2002 - Risk Rating Worksheet_final_12.11.2002_Comparison vs. prior_Q2 2003" xfId="814" xr:uid="{00000000-0005-0000-0000-0000AB020000}"/>
    <cellStyle name="1_Japan - 4Q2002 - Risk Rating Worksheet_final_Comparison vs. prior_Q2 2003" xfId="815" xr:uid="{00000000-0005-0000-0000-0000AC020000}"/>
    <cellStyle name="1_Japan-1Q2003 - Risk Rating Worksheet03.06.2003F" xfId="816" xr:uid="{00000000-0005-0000-0000-0000AD020000}"/>
    <cellStyle name="1_Japan-1Q2003 - Risk Rating Worksheet03.06.2003F_Comparison vs. prior_Q2 2003" xfId="817" xr:uid="{00000000-0005-0000-0000-0000AE020000}"/>
    <cellStyle name="1_SALEM" xfId="818" xr:uid="{00000000-0005-0000-0000-0000AF020000}"/>
    <cellStyle name="1_SALEM_03-05-31 Final OBS Reports" xfId="819" xr:uid="{00000000-0005-0000-0000-0000B0020000}"/>
    <cellStyle name="1_SALEM_GMACCH_Loans_OBS_033103_Final_v2" xfId="820" xr:uid="{00000000-0005-0000-0000-0000B1020000}"/>
    <cellStyle name="1_SALEM_Japan - 3Q02 Risk Rating Worksheet - 101602_Japan" xfId="821" xr:uid="{00000000-0005-0000-0000-0000B2020000}"/>
    <cellStyle name="1_SALEM_Japan - 3Q02 Risk Rating Worksheet - 101602_Japan_Comparison vs. prior_Q2 2003" xfId="822" xr:uid="{00000000-0005-0000-0000-0000B3020000}"/>
    <cellStyle name="1_SALEM_Japan - 4Q2002 - Risk Rating Worksheet_final" xfId="823" xr:uid="{00000000-0005-0000-0000-0000B4020000}"/>
    <cellStyle name="1_SALEM_Japan - 4Q2002 - Risk Rating Worksheet_final_12.11.2002" xfId="824" xr:uid="{00000000-0005-0000-0000-0000B5020000}"/>
    <cellStyle name="1_SALEM_Japan - 4Q2002 - Risk Rating Worksheet_final_12.11.2002_Comparison vs. prior_Q2 2003" xfId="825" xr:uid="{00000000-0005-0000-0000-0000B6020000}"/>
    <cellStyle name="1_SALEM_Japan - 4Q2002 - Risk Rating Worksheet_final_Comparison vs. prior_Q2 2003" xfId="826" xr:uid="{00000000-0005-0000-0000-0000B7020000}"/>
    <cellStyle name="1_SALEM_Japan-1Q2003 - Risk Rating Worksheet03.06.2003F" xfId="827" xr:uid="{00000000-0005-0000-0000-0000B8020000}"/>
    <cellStyle name="1_SALEM_Japan-1Q2003 - Risk Rating Worksheet03.06.2003F_Comparison vs. prior_Q2 2003" xfId="828" xr:uid="{00000000-0005-0000-0000-0000B9020000}"/>
    <cellStyle name="1_SALEM_Sheet1" xfId="829" xr:uid="{00000000-0005-0000-0000-0000BA020000}"/>
    <cellStyle name="1_SALEM_Sheet3" xfId="830" xr:uid="{00000000-0005-0000-0000-0000BB020000}"/>
    <cellStyle name="1_sec8 (2)" xfId="831" xr:uid="{00000000-0005-0000-0000-0000BC020000}"/>
    <cellStyle name="1_sec8 (2)_03-05-31 Final OBS Reports" xfId="832" xr:uid="{00000000-0005-0000-0000-0000BD020000}"/>
    <cellStyle name="1_sec8 (2)_GMACCH_Loans_OBS_033103_Final_v2" xfId="833" xr:uid="{00000000-0005-0000-0000-0000BE020000}"/>
    <cellStyle name="1_sec8 (2)_Japan - 3Q02 Risk Rating Worksheet - 101602_Japan" xfId="834" xr:uid="{00000000-0005-0000-0000-0000BF020000}"/>
    <cellStyle name="1_sec8 (2)_Japan - 3Q02 Risk Rating Worksheet - 101602_Japan_Comparison vs. prior_Q2 2003" xfId="835" xr:uid="{00000000-0005-0000-0000-0000C0020000}"/>
    <cellStyle name="1_sec8 (2)_Japan - 4Q2002 - Risk Rating Worksheet_final" xfId="836" xr:uid="{00000000-0005-0000-0000-0000C1020000}"/>
    <cellStyle name="1_sec8 (2)_Japan - 4Q2002 - Risk Rating Worksheet_final_12.11.2002" xfId="837" xr:uid="{00000000-0005-0000-0000-0000C2020000}"/>
    <cellStyle name="1_sec8 (2)_Japan - 4Q2002 - Risk Rating Worksheet_final_12.11.2002_Comparison vs. prior_Q2 2003" xfId="838" xr:uid="{00000000-0005-0000-0000-0000C3020000}"/>
    <cellStyle name="1_sec8 (2)_Japan - 4Q2002 - Risk Rating Worksheet_final_Comparison vs. prior_Q2 2003" xfId="839" xr:uid="{00000000-0005-0000-0000-0000C4020000}"/>
    <cellStyle name="1_sec8 (2)_Japan-1Q2003 - Risk Rating Worksheet03.06.2003F" xfId="840" xr:uid="{00000000-0005-0000-0000-0000C5020000}"/>
    <cellStyle name="1_sec8 (2)_Japan-1Q2003 - Risk Rating Worksheet03.06.2003F_Comparison vs. prior_Q2 2003" xfId="841" xr:uid="{00000000-0005-0000-0000-0000C6020000}"/>
    <cellStyle name="1_sec8 (2)_Sheet1" xfId="842" xr:uid="{00000000-0005-0000-0000-0000C7020000}"/>
    <cellStyle name="1_sec8 (2)_Sheet3" xfId="843" xr:uid="{00000000-0005-0000-0000-0000C8020000}"/>
    <cellStyle name="1_Sheet1" xfId="844" xr:uid="{00000000-0005-0000-0000-0000C9020000}"/>
    <cellStyle name="1_Sheet3" xfId="845" xr:uid="{00000000-0005-0000-0000-0000CA020000}"/>
    <cellStyle name="2" xfId="846" xr:uid="{00000000-0005-0000-0000-0000CB020000}"/>
    <cellStyle name="2_03-05-31 Final OBS Reports" xfId="847" xr:uid="{00000000-0005-0000-0000-0000CC020000}"/>
    <cellStyle name="2_GMACCH_Loans_OBS_033103_Final_v2" xfId="848" xr:uid="{00000000-0005-0000-0000-0000CD020000}"/>
    <cellStyle name="2_Japan - 3Q02 Risk Rating Worksheet - 101602_Japan" xfId="849" xr:uid="{00000000-0005-0000-0000-0000CE020000}"/>
    <cellStyle name="2_Japan - 3Q02 Risk Rating Worksheet - 101602_Japan_Comparison vs. prior_Q2 2003" xfId="850" xr:uid="{00000000-0005-0000-0000-0000CF020000}"/>
    <cellStyle name="2_Japan - 4Q2002 - Risk Rating Worksheet_final" xfId="851" xr:uid="{00000000-0005-0000-0000-0000D0020000}"/>
    <cellStyle name="2_Japan - 4Q2002 - Risk Rating Worksheet_final_12.11.2002" xfId="852" xr:uid="{00000000-0005-0000-0000-0000D1020000}"/>
    <cellStyle name="2_Japan - 4Q2002 - Risk Rating Worksheet_final_12.11.2002_Comparison vs. prior_Q2 2003" xfId="853" xr:uid="{00000000-0005-0000-0000-0000D2020000}"/>
    <cellStyle name="2_Japan - 4Q2002 - Risk Rating Worksheet_final_Comparison vs. prior_Q2 2003" xfId="854" xr:uid="{00000000-0005-0000-0000-0000D3020000}"/>
    <cellStyle name="2_Japan-1Q2003 - Risk Rating Worksheet03.06.2003F" xfId="855" xr:uid="{00000000-0005-0000-0000-0000D4020000}"/>
    <cellStyle name="2_Japan-1Q2003 - Risk Rating Worksheet03.06.2003F_Comparison vs. prior_Q2 2003" xfId="856" xr:uid="{00000000-0005-0000-0000-0000D5020000}"/>
    <cellStyle name="2_SALEM" xfId="857" xr:uid="{00000000-0005-0000-0000-0000D6020000}"/>
    <cellStyle name="2_SALEM_03-05-31 Final OBS Reports" xfId="858" xr:uid="{00000000-0005-0000-0000-0000D7020000}"/>
    <cellStyle name="2_SALEM_GMACCH_Loans_OBS_033103_Final_v2" xfId="859" xr:uid="{00000000-0005-0000-0000-0000D8020000}"/>
    <cellStyle name="2_SALEM_Japan - 3Q02 Risk Rating Worksheet - 101602_Japan" xfId="860" xr:uid="{00000000-0005-0000-0000-0000D9020000}"/>
    <cellStyle name="2_SALEM_Japan - 3Q02 Risk Rating Worksheet - 101602_Japan_Comparison vs. prior_Q2 2003" xfId="861" xr:uid="{00000000-0005-0000-0000-0000DA020000}"/>
    <cellStyle name="2_SALEM_Japan - 4Q2002 - Risk Rating Worksheet_final" xfId="862" xr:uid="{00000000-0005-0000-0000-0000DB020000}"/>
    <cellStyle name="2_SALEM_Japan - 4Q2002 - Risk Rating Worksheet_final_12.11.2002" xfId="863" xr:uid="{00000000-0005-0000-0000-0000DC020000}"/>
    <cellStyle name="2_SALEM_Japan - 4Q2002 - Risk Rating Worksheet_final_12.11.2002_Comparison vs. prior_Q2 2003" xfId="864" xr:uid="{00000000-0005-0000-0000-0000DD020000}"/>
    <cellStyle name="2_SALEM_Japan - 4Q2002 - Risk Rating Worksheet_final_Comparison vs. prior_Q2 2003" xfId="865" xr:uid="{00000000-0005-0000-0000-0000DE020000}"/>
    <cellStyle name="2_SALEM_Japan-1Q2003 - Risk Rating Worksheet03.06.2003F" xfId="866" xr:uid="{00000000-0005-0000-0000-0000DF020000}"/>
    <cellStyle name="2_SALEM_Japan-1Q2003 - Risk Rating Worksheet03.06.2003F_Comparison vs. prior_Q2 2003" xfId="867" xr:uid="{00000000-0005-0000-0000-0000E0020000}"/>
    <cellStyle name="2_SALEM_Sheet1" xfId="868" xr:uid="{00000000-0005-0000-0000-0000E1020000}"/>
    <cellStyle name="2_SALEM_Sheet3" xfId="869" xr:uid="{00000000-0005-0000-0000-0000E2020000}"/>
    <cellStyle name="2_Sheet1" xfId="870" xr:uid="{00000000-0005-0000-0000-0000E3020000}"/>
    <cellStyle name="2_Sheet3" xfId="871" xr:uid="{00000000-0005-0000-0000-0000E4020000}"/>
    <cellStyle name="3" xfId="872" xr:uid="{00000000-0005-0000-0000-0000E5020000}"/>
    <cellStyle name="3$" xfId="873" xr:uid="{00000000-0005-0000-0000-0000F2020000}"/>
    <cellStyle name="3_03-05-31 Final OBS Reports" xfId="874" xr:uid="{00000000-0005-0000-0000-0000E6020000}"/>
    <cellStyle name="3_GMACCH_Loans_OBS_033103_Final_v2" xfId="875" xr:uid="{00000000-0005-0000-0000-0000E7020000}"/>
    <cellStyle name="3_Japan - 3Q02 Risk Rating Worksheet - 101602_Japan" xfId="876" xr:uid="{00000000-0005-0000-0000-0000E8020000}"/>
    <cellStyle name="3_Japan - 3Q02 Risk Rating Worksheet - 101602_Japan_Comparison vs. prior_Q2 2003" xfId="877" xr:uid="{00000000-0005-0000-0000-0000E9020000}"/>
    <cellStyle name="3_Japan - 4Q2002 - Risk Rating Worksheet_final" xfId="878" xr:uid="{00000000-0005-0000-0000-0000EA020000}"/>
    <cellStyle name="3_Japan - 4Q2002 - Risk Rating Worksheet_final_12.11.2002" xfId="879" xr:uid="{00000000-0005-0000-0000-0000EB020000}"/>
    <cellStyle name="3_Japan - 4Q2002 - Risk Rating Worksheet_final_12.11.2002_Comparison vs. prior_Q2 2003" xfId="880" xr:uid="{00000000-0005-0000-0000-0000EC020000}"/>
    <cellStyle name="3_Japan - 4Q2002 - Risk Rating Worksheet_final_Comparison vs. prior_Q2 2003" xfId="881" xr:uid="{00000000-0005-0000-0000-0000ED020000}"/>
    <cellStyle name="3_Japan-1Q2003 - Risk Rating Worksheet03.06.2003F" xfId="882" xr:uid="{00000000-0005-0000-0000-0000EE020000}"/>
    <cellStyle name="3_Japan-1Q2003 - Risk Rating Worksheet03.06.2003F_Comparison vs. prior_Q2 2003" xfId="883" xr:uid="{00000000-0005-0000-0000-0000EF020000}"/>
    <cellStyle name="3_Sheet1" xfId="884" xr:uid="{00000000-0005-0000-0000-0000F0020000}"/>
    <cellStyle name="3_Sheet3" xfId="885" xr:uid="{00000000-0005-0000-0000-0000F1020000}"/>
    <cellStyle name="A" xfId="886" xr:uid="{00000000-0005-0000-0000-0000F3020000}"/>
    <cellStyle name="Actual Date" xfId="887" xr:uid="{00000000-0005-0000-0000-0000F4020000}"/>
    <cellStyle name="AFE" xfId="888" xr:uid="{00000000-0005-0000-0000-0000F5020000}"/>
    <cellStyle name="ag" xfId="889" xr:uid="{00000000-0005-0000-0000-0000F6020000}"/>
    <cellStyle name="args.style" xfId="890" xr:uid="{00000000-0005-0000-0000-0000F7020000}"/>
    <cellStyle name="Arial 10" xfId="891" xr:uid="{00000000-0005-0000-0000-0000F8020000}"/>
    <cellStyle name="Arial 12" xfId="892" xr:uid="{00000000-0005-0000-0000-0000F9020000}"/>
    <cellStyle name="BLACK" xfId="893" xr:uid="{00000000-0005-0000-0000-0000FA020000}"/>
    <cellStyle name="Blank[,]" xfId="894" xr:uid="{00000000-0005-0000-0000-0000FB020000}"/>
    <cellStyle name="Blank[1%]" xfId="895" xr:uid="{00000000-0005-0000-0000-0000FC020000}"/>
    <cellStyle name="Blue" xfId="896" xr:uid="{00000000-0005-0000-0000-0000FD020000}"/>
    <cellStyle name="blue currency" xfId="897" xr:uid="{00000000-0005-0000-0000-0000FE020000}"/>
    <cellStyle name="BLUE date" xfId="898" xr:uid="{00000000-0005-0000-0000-0000FF020000}"/>
    <cellStyle name="blue$00" xfId="899" xr:uid="{00000000-0005-0000-0000-000001030000}"/>
    <cellStyle name="BLUE_Citrix_2pgr2" xfId="900" xr:uid="{00000000-0005-0000-0000-000000030000}"/>
    <cellStyle name="Body" xfId="901" xr:uid="{00000000-0005-0000-0000-000002030000}"/>
    <cellStyle name="BOLD, 8 POINT" xfId="902" xr:uid="{00000000-0005-0000-0000-000003030000}"/>
    <cellStyle name="BoldItalicNoUnderline" xfId="903" xr:uid="{00000000-0005-0000-0000-000004030000}"/>
    <cellStyle name="BoldSDoubUnderlineBack" xfId="904" xr:uid="{00000000-0005-0000-0000-000005030000}"/>
    <cellStyle name="BoldSingUnderline" xfId="905" xr:uid="{00000000-0005-0000-0000-000006030000}"/>
    <cellStyle name="Border Heavy" xfId="906" xr:uid="{00000000-0005-0000-0000-000007030000}"/>
    <cellStyle name="Border Thin" xfId="907" xr:uid="{00000000-0005-0000-0000-000008030000}"/>
    <cellStyle name="bottomHeavy" xfId="908" xr:uid="{00000000-0005-0000-0000-000009030000}"/>
    <cellStyle name="bottomHeavy-w-left" xfId="909" xr:uid="{00000000-0005-0000-0000-00000A030000}"/>
    <cellStyle name="brad" xfId="910" xr:uid="{00000000-0005-0000-0000-00000B030000}"/>
    <cellStyle name="British Pound" xfId="911" xr:uid="{00000000-0005-0000-0000-00000C030000}"/>
    <cellStyle name="Ç¥ÁØ_¿ù°£¿ä¾àº¸°í" xfId="912" xr:uid="{00000000-0005-0000-0000-00000D030000}"/>
    <cellStyle name="Calc Currency (0)" xfId="913" xr:uid="{00000000-0005-0000-0000-00000E030000}"/>
    <cellStyle name="Calc Currency (2)" xfId="914" xr:uid="{00000000-0005-0000-0000-00000F030000}"/>
    <cellStyle name="Calc Percent (0)" xfId="915" xr:uid="{00000000-0005-0000-0000-000010030000}"/>
    <cellStyle name="Calc Percent (1)" xfId="916" xr:uid="{00000000-0005-0000-0000-000011030000}"/>
    <cellStyle name="Calc Percent (2)" xfId="917" xr:uid="{00000000-0005-0000-0000-000012030000}"/>
    <cellStyle name="Calc Units (0)" xfId="918" xr:uid="{00000000-0005-0000-0000-000013030000}"/>
    <cellStyle name="Calc Units (1)" xfId="919" xr:uid="{00000000-0005-0000-0000-000014030000}"/>
    <cellStyle name="Calc Units (2)" xfId="920" xr:uid="{00000000-0005-0000-0000-000015030000}"/>
    <cellStyle name="caps 0.00" xfId="921" xr:uid="{00000000-0005-0000-0000-000016030000}"/>
    <cellStyle name="capsdate" xfId="922" xr:uid="{00000000-0005-0000-0000-000017030000}"/>
    <cellStyle name="Case" xfId="923" xr:uid="{00000000-0005-0000-0000-000018030000}"/>
    <cellStyle name="Cash Flow Statement" xfId="924" xr:uid="{00000000-0005-0000-0000-000019030000}"/>
    <cellStyle name="Center Across" xfId="925" xr:uid="{00000000-0005-0000-0000-00001A030000}"/>
    <cellStyle name="colheadleft" xfId="926" xr:uid="{00000000-0005-0000-0000-00001B030000}"/>
    <cellStyle name="colheadright" xfId="927" xr:uid="{00000000-0005-0000-0000-00001C030000}"/>
    <cellStyle name="Column Heading" xfId="928" xr:uid="{00000000-0005-0000-0000-00001D030000}"/>
    <cellStyle name="ColumnHeading" xfId="929" xr:uid="{00000000-0005-0000-0000-00001E030000}"/>
    <cellStyle name="Comma" xfId="1360" builtinId="3"/>
    <cellStyle name="Comma [00]" xfId="930" xr:uid="{00000000-0005-0000-0000-000020030000}"/>
    <cellStyle name="Comma [1]" xfId="931" xr:uid="{00000000-0005-0000-0000-000021030000}"/>
    <cellStyle name="Comma 0" xfId="932" xr:uid="{00000000-0005-0000-0000-000022030000}"/>
    <cellStyle name="Comma 0*" xfId="933" xr:uid="{00000000-0005-0000-0000-000023030000}"/>
    <cellStyle name="Comma 2" xfId="3" xr:uid="{00000000-0005-0000-0000-000024030000}"/>
    <cellStyle name="Comma 2 10" xfId="22" xr:uid="{00000000-0005-0000-0000-000025030000}"/>
    <cellStyle name="Comma 2 2" xfId="11" xr:uid="{00000000-0005-0000-0000-000026030000}"/>
    <cellStyle name="Comma 3" xfId="17" xr:uid="{00000000-0005-0000-0000-000027030000}"/>
    <cellStyle name="Comma 4" xfId="20" xr:uid="{00000000-0005-0000-0000-000028030000}"/>
    <cellStyle name="Comma 5" xfId="934" xr:uid="{00000000-0005-0000-0000-000029030000}"/>
    <cellStyle name="Comma 6" xfId="935" xr:uid="{00000000-0005-0000-0000-00002A030000}"/>
    <cellStyle name="Comma 7" xfId="936" xr:uid="{00000000-0005-0000-0000-00002B030000}"/>
    <cellStyle name="Comma 8" xfId="1350" xr:uid="{00000000-0005-0000-0000-00002C030000}"/>
    <cellStyle name="Comma 9" xfId="1359" xr:uid="{DC164E84-3E58-4E35-9903-251FD07BA1A7}"/>
    <cellStyle name="Comma0" xfId="937" xr:uid="{00000000-0005-0000-0000-00002D030000}"/>
    <cellStyle name="Comma0 - Style3" xfId="938" xr:uid="{00000000-0005-0000-0000-00002E030000}"/>
    <cellStyle name="Comma0 - Style5" xfId="939" xr:uid="{00000000-0005-0000-0000-00002F030000}"/>
    <cellStyle name="Comma0_Criteria" xfId="940" xr:uid="{00000000-0005-0000-0000-000030030000}"/>
    <cellStyle name="Comma1 - Style1" xfId="941" xr:uid="{00000000-0005-0000-0000-000031030000}"/>
    <cellStyle name="CommaFixed" xfId="942" xr:uid="{00000000-0005-0000-0000-000032030000}"/>
    <cellStyle name="CommaNoDec" xfId="943" xr:uid="{00000000-0005-0000-0000-000033030000}"/>
    <cellStyle name="CommaNoDecTot" xfId="944" xr:uid="{00000000-0005-0000-0000-000034030000}"/>
    <cellStyle name="CommaTotTop" xfId="945" xr:uid="{00000000-0005-0000-0000-000035030000}"/>
    <cellStyle name="CommaTotTopNoDec" xfId="946" xr:uid="{00000000-0005-0000-0000-000036030000}"/>
    <cellStyle name="Copied" xfId="947" xr:uid="{00000000-0005-0000-0000-000037030000}"/>
    <cellStyle name="COST1" xfId="948" xr:uid="{00000000-0005-0000-0000-000038030000}"/>
    <cellStyle name="Curren - Style2" xfId="949" xr:uid="{00000000-0005-0000-0000-000039030000}"/>
    <cellStyle name="Curren - Style4" xfId="950" xr:uid="{00000000-0005-0000-0000-00003A030000}"/>
    <cellStyle name="Currency" xfId="18" builtinId="4"/>
    <cellStyle name="Currency [00]" xfId="951" xr:uid="{00000000-0005-0000-0000-00003C030000}"/>
    <cellStyle name="Currency [2]" xfId="952" xr:uid="{00000000-0005-0000-0000-00003D030000}"/>
    <cellStyle name="Currency 0" xfId="953" xr:uid="{00000000-0005-0000-0000-00003E030000}"/>
    <cellStyle name="Currency 2" xfId="4" xr:uid="{00000000-0005-0000-0000-00003F030000}"/>
    <cellStyle name="Currency 2 2" xfId="12" xr:uid="{00000000-0005-0000-0000-000040030000}"/>
    <cellStyle name="Currency 2 3" xfId="1355" xr:uid="{00000000-0005-0000-0000-000041030000}"/>
    <cellStyle name="Currency 3" xfId="954" xr:uid="{00000000-0005-0000-0000-000042030000}"/>
    <cellStyle name="Currency 4" xfId="955" xr:uid="{00000000-0005-0000-0000-000043030000}"/>
    <cellStyle name="Currency 5" xfId="956" xr:uid="{00000000-0005-0000-0000-000044030000}"/>
    <cellStyle name="Currency 6" xfId="957" xr:uid="{00000000-0005-0000-0000-000045030000}"/>
    <cellStyle name="Currency 7" xfId="958" xr:uid="{00000000-0005-0000-0000-000046030000}"/>
    <cellStyle name="Currency 8" xfId="1358" xr:uid="{E3B2DBE1-D04C-412B-9A10-6043A65E5AC8}"/>
    <cellStyle name="Currency0" xfId="959" xr:uid="{00000000-0005-0000-0000-000047030000}"/>
    <cellStyle name="Currency1" xfId="960" xr:uid="{00000000-0005-0000-0000-000048030000}"/>
    <cellStyle name="CurrencyTotTop[" xfId="961" xr:uid="{00000000-0005-0000-0000-000049030000}"/>
    <cellStyle name="D" xfId="962" xr:uid="{00000000-0005-0000-0000-00004A030000}"/>
    <cellStyle name="Date" xfId="963" xr:uid="{00000000-0005-0000-0000-00004B030000}"/>
    <cellStyle name="Date Aligned" xfId="964" xr:uid="{00000000-0005-0000-0000-00004C030000}"/>
    <cellStyle name="date month-year" xfId="965" xr:uid="{00000000-0005-0000-0000-00004D030000}"/>
    <cellStyle name="Date Short" xfId="966" xr:uid="{00000000-0005-0000-0000-00004E030000}"/>
    <cellStyle name="date_09.01.01_Property_Tax_Basis1" xfId="967" xr:uid="{00000000-0005-0000-0000-00004F030000}"/>
    <cellStyle name="Date1" xfId="968" xr:uid="{00000000-0005-0000-0000-000050030000}"/>
    <cellStyle name="DATETIME" xfId="969" xr:uid="{00000000-0005-0000-0000-000051030000}"/>
    <cellStyle name="decimal 0" xfId="970" xr:uid="{00000000-0005-0000-0000-000052030000}"/>
    <cellStyle name="decimal 1" xfId="971" xr:uid="{00000000-0005-0000-0000-000053030000}"/>
    <cellStyle name="decimal 2" xfId="972" xr:uid="{00000000-0005-0000-0000-000054030000}"/>
    <cellStyle name="Dollar" xfId="973" xr:uid="{00000000-0005-0000-0000-000055030000}"/>
    <cellStyle name="Dollar1" xfId="974" xr:uid="{00000000-0005-0000-0000-000056030000}"/>
    <cellStyle name="Dollar1Blue" xfId="975" xr:uid="{00000000-0005-0000-0000-000057030000}"/>
    <cellStyle name="Dollar2" xfId="976" xr:uid="{00000000-0005-0000-0000-000058030000}"/>
    <cellStyle name="Dotted Line" xfId="977" xr:uid="{00000000-0005-0000-0000-000059030000}"/>
    <cellStyle name="Double Accounting" xfId="978" xr:uid="{00000000-0005-0000-0000-00005A030000}"/>
    <cellStyle name="dp*Accent" xfId="979" xr:uid="{00000000-0005-0000-0000-00005B030000}"/>
    <cellStyle name="dp*ChartSubTitle" xfId="980" xr:uid="{00000000-0005-0000-0000-00005C030000}"/>
    <cellStyle name="dp*ChartTitle" xfId="981" xr:uid="{00000000-0005-0000-0000-00005D030000}"/>
    <cellStyle name="dp*ColumnHeading1" xfId="982" xr:uid="{00000000-0005-0000-0000-00005E030000}"/>
    <cellStyle name="dp*ColumnHeading2" xfId="983" xr:uid="{00000000-0005-0000-0000-00005F030000}"/>
    <cellStyle name="dp*ColumnHeadingDate" xfId="984" xr:uid="{00000000-0005-0000-0000-000060030000}"/>
    <cellStyle name="dp*FiscalDate" xfId="985" xr:uid="{00000000-0005-0000-0000-000061030000}"/>
    <cellStyle name="dp*Footnote" xfId="986" xr:uid="{00000000-0005-0000-0000-000062030000}"/>
    <cellStyle name="dp*Information" xfId="987" xr:uid="{00000000-0005-0000-0000-000063030000}"/>
    <cellStyle name="dp*LabelItalics" xfId="988" xr:uid="{00000000-0005-0000-0000-000064030000}"/>
    <cellStyle name="dp*LabelItalicsLineAbove" xfId="989" xr:uid="{00000000-0005-0000-0000-000065030000}"/>
    <cellStyle name="dp*LabelLine" xfId="990" xr:uid="{00000000-0005-0000-0000-000066030000}"/>
    <cellStyle name="dp*Labels" xfId="991" xr:uid="{00000000-0005-0000-0000-000067030000}"/>
    <cellStyle name="dp*Normal" xfId="992" xr:uid="{00000000-0005-0000-0000-000068030000}"/>
    <cellStyle name="dp*NormalCurrency1Dec." xfId="993" xr:uid="{00000000-0005-0000-0000-000069030000}"/>
    <cellStyle name="dp*NormalCurrency2Dec." xfId="994" xr:uid="{00000000-0005-0000-0000-00006A030000}"/>
    <cellStyle name="dp*Number%Italics" xfId="995" xr:uid="{00000000-0005-0000-0000-00006B030000}"/>
    <cellStyle name="dp*Number%ItalicsLineAbove" xfId="996" xr:uid="{00000000-0005-0000-0000-00006C030000}"/>
    <cellStyle name="dp*NumberCurrencyLine" xfId="997" xr:uid="{00000000-0005-0000-0000-00006D030000}"/>
    <cellStyle name="dp*NumberGeneral" xfId="998" xr:uid="{00000000-0005-0000-0000-00006E030000}"/>
    <cellStyle name="dp*NumberGeneral2Dec." xfId="999" xr:uid="{00000000-0005-0000-0000-00006F030000}"/>
    <cellStyle name="dp*NumberLine" xfId="1000" xr:uid="{00000000-0005-0000-0000-000070030000}"/>
    <cellStyle name="dp*NumberLineEPS" xfId="1001" xr:uid="{00000000-0005-0000-0000-000071030000}"/>
    <cellStyle name="dp*NumberSpecial" xfId="1002" xr:uid="{00000000-0005-0000-0000-000072030000}"/>
    <cellStyle name="dp*RatioX" xfId="1003" xr:uid="{00000000-0005-0000-0000-000073030000}"/>
    <cellStyle name="dp*SeriesName" xfId="1004" xr:uid="{00000000-0005-0000-0000-000074030000}"/>
    <cellStyle name="dp*SheetSubTitle" xfId="1005" xr:uid="{00000000-0005-0000-0000-000075030000}"/>
    <cellStyle name="dp*SheetTitle" xfId="1006" xr:uid="{00000000-0005-0000-0000-000076030000}"/>
    <cellStyle name="dp*SubTitle" xfId="1007" xr:uid="{00000000-0005-0000-0000-000077030000}"/>
    <cellStyle name="dp*ThickLineAbove" xfId="1008" xr:uid="{00000000-0005-0000-0000-000078030000}"/>
    <cellStyle name="dp*ThickLineBelow" xfId="1009" xr:uid="{00000000-0005-0000-0000-000079030000}"/>
    <cellStyle name="dp*ThinLineAbove" xfId="1010" xr:uid="{00000000-0005-0000-0000-00007A030000}"/>
    <cellStyle name="dp*ThinLineBelow" xfId="1011" xr:uid="{00000000-0005-0000-0000-00007B030000}"/>
    <cellStyle name="dp*XAxisTitle" xfId="1012" xr:uid="{00000000-0005-0000-0000-00007C030000}"/>
    <cellStyle name="dp*Y2AxisTitle" xfId="1013" xr:uid="{00000000-0005-0000-0000-00007D030000}"/>
    <cellStyle name="dp*YAxisTitle" xfId="1014" xr:uid="{00000000-0005-0000-0000-00007E030000}"/>
    <cellStyle name="Driver" xfId="1015" xr:uid="{00000000-0005-0000-0000-00007F030000}"/>
    <cellStyle name="Enter Currency (0)" xfId="1016" xr:uid="{00000000-0005-0000-0000-000080030000}"/>
    <cellStyle name="Enter Currency (2)" xfId="1017" xr:uid="{00000000-0005-0000-0000-000081030000}"/>
    <cellStyle name="Enter Units (0)" xfId="1018" xr:uid="{00000000-0005-0000-0000-000082030000}"/>
    <cellStyle name="Enter Units (1)" xfId="1019" xr:uid="{00000000-0005-0000-0000-000083030000}"/>
    <cellStyle name="Enter Units (2)" xfId="1020" xr:uid="{00000000-0005-0000-0000-000084030000}"/>
    <cellStyle name="Entered" xfId="1021" xr:uid="{00000000-0005-0000-0000-000085030000}"/>
    <cellStyle name="Euro" xfId="1022" xr:uid="{00000000-0005-0000-0000-000086030000}"/>
    <cellStyle name="EvenBodyShade" xfId="1023" xr:uid="{00000000-0005-0000-0000-000087030000}"/>
    <cellStyle name="EvenBodyShade 2" xfId="1024" xr:uid="{00000000-0005-0000-0000-000088030000}"/>
    <cellStyle name="EvenBodyShade 3" xfId="1025" xr:uid="{00000000-0005-0000-0000-000089030000}"/>
    <cellStyle name="EvenBodyShade 4" xfId="1026" xr:uid="{00000000-0005-0000-0000-00008A030000}"/>
    <cellStyle name="EvenBodyShade 5" xfId="1027" xr:uid="{00000000-0005-0000-0000-00008B030000}"/>
    <cellStyle name="EvenBodyShade 9" xfId="1028" xr:uid="{00000000-0005-0000-0000-00008C030000}"/>
    <cellStyle name="EY House" xfId="1029" xr:uid="{00000000-0005-0000-0000-00008D030000}"/>
    <cellStyle name="F1" xfId="1030" xr:uid="{00000000-0005-0000-0000-00008E030000}"/>
    <cellStyle name="Fixed" xfId="1031" xr:uid="{00000000-0005-0000-0000-00008F030000}"/>
    <cellStyle name="Fixed4 - Style4" xfId="1032" xr:uid="{00000000-0005-0000-0000-000090030000}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18" builtinId="9" hidden="1"/>
    <cellStyle name="Followed Hyperlink" xfId="102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70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26" builtinId="9" hidden="1"/>
    <cellStyle name="Followed Hyperlink" xfId="27" builtinId="9" hidden="1"/>
    <cellStyle name="Followed Hyperlink" xfId="25" builtinId="9" hidden="1"/>
    <cellStyle name="Footnote" xfId="1033" xr:uid="{00000000-0005-0000-0000-0000FD030000}"/>
    <cellStyle name="general" xfId="1034" xr:uid="{00000000-0005-0000-0000-0000FE030000}"/>
    <cellStyle name="Good 2" xfId="1345" xr:uid="{00000000-0005-0000-0000-0000FF030000}"/>
    <cellStyle name="GrandTotal" xfId="1035" xr:uid="{00000000-0005-0000-0000-000000040000}"/>
    <cellStyle name="Grey" xfId="1036" xr:uid="{00000000-0005-0000-0000-000001040000}"/>
    <cellStyle name="Hard Percent" xfId="1037" xr:uid="{00000000-0005-0000-0000-000002040000}"/>
    <cellStyle name="Head 1" xfId="1038" xr:uid="{00000000-0005-0000-0000-000003040000}"/>
    <cellStyle name="Head0" xfId="1039" xr:uid="{00000000-0005-0000-0000-000004040000}"/>
    <cellStyle name="Head1" xfId="1040" xr:uid="{00000000-0005-0000-0000-000005040000}"/>
    <cellStyle name="Head2" xfId="1041" xr:uid="{00000000-0005-0000-0000-000006040000}"/>
    <cellStyle name="Head3" xfId="1042" xr:uid="{00000000-0005-0000-0000-000007040000}"/>
    <cellStyle name="Head4" xfId="1043" xr:uid="{00000000-0005-0000-0000-000008040000}"/>
    <cellStyle name="Head5" xfId="1044" xr:uid="{00000000-0005-0000-0000-000009040000}"/>
    <cellStyle name="Head6" xfId="1045" xr:uid="{00000000-0005-0000-0000-00000A040000}"/>
    <cellStyle name="Head7" xfId="1046" xr:uid="{00000000-0005-0000-0000-00000B040000}"/>
    <cellStyle name="Head8" xfId="1047" xr:uid="{00000000-0005-0000-0000-00000C040000}"/>
    <cellStyle name="Head9" xfId="1048" xr:uid="{00000000-0005-0000-0000-00000D040000}"/>
    <cellStyle name="HEADER" xfId="1049" xr:uid="{00000000-0005-0000-0000-00000E040000}"/>
    <cellStyle name="Header1" xfId="1050" xr:uid="{00000000-0005-0000-0000-00000F040000}"/>
    <cellStyle name="Header2" xfId="1051" xr:uid="{00000000-0005-0000-0000-000010040000}"/>
    <cellStyle name="Heading" xfId="1052" xr:uid="{00000000-0005-0000-0000-000011040000}"/>
    <cellStyle name="Heading 2 2" xfId="1351" xr:uid="{00000000-0005-0000-0000-000012040000}"/>
    <cellStyle name="Heading Left" xfId="1053" xr:uid="{00000000-0005-0000-0000-000013040000}"/>
    <cellStyle name="Heading Right" xfId="1054" xr:uid="{00000000-0005-0000-0000-000014040000}"/>
    <cellStyle name="Heading1" xfId="1055" xr:uid="{00000000-0005-0000-0000-000015040000}"/>
    <cellStyle name="Heading2" xfId="1056" xr:uid="{00000000-0005-0000-0000-000016040000}"/>
    <cellStyle name="HeadingS" xfId="1057" xr:uid="{00000000-0005-0000-0000-000017040000}"/>
    <cellStyle name="HEADINGSTOP" xfId="1058" xr:uid="{00000000-0005-0000-0000-000018040000}"/>
    <cellStyle name="Headline" xfId="1059" xr:uid="{00000000-0005-0000-0000-000019040000}"/>
    <cellStyle name="HeadShade" xfId="1060" xr:uid="{00000000-0005-0000-0000-00001A040000}"/>
    <cellStyle name="HeadShade 2" xfId="1061" xr:uid="{00000000-0005-0000-0000-00001B040000}"/>
    <cellStyle name="HeadShade 3" xfId="1062" xr:uid="{00000000-0005-0000-0000-00001C040000}"/>
    <cellStyle name="HeadShade 4" xfId="1063" xr:uid="{00000000-0005-0000-0000-00001D040000}"/>
    <cellStyle name="HeadShade 5" xfId="1064" xr:uid="{00000000-0005-0000-0000-00001E040000}"/>
    <cellStyle name="HeadShade 9" xfId="1065" xr:uid="{00000000-0005-0000-0000-00001F040000}"/>
    <cellStyle name="helv narrow 8" xfId="1066" xr:uid="{00000000-0005-0000-0000-000020040000}"/>
    <cellStyle name="Hidden" xfId="1067" xr:uid="{00000000-0005-0000-0000-000021040000}"/>
    <cellStyle name="Hide" xfId="1068" xr:uid="{00000000-0005-0000-0000-000022040000}"/>
    <cellStyle name="HIGHLIGHT" xfId="1069" xr:uid="{00000000-0005-0000-0000-000023040000}"/>
    <cellStyle name="Hyperlink" xfId="1343" builtinId="8" hidden="1"/>
    <cellStyle name="Hyperlink" xfId="1341" builtinId="8" hidden="1"/>
    <cellStyle name="Hyperlink 2" xfId="1357" xr:uid="{3D23AB57-93B8-4255-940A-082865DDDD0E}"/>
    <cellStyle name="I" xfId="1070" xr:uid="{00000000-0005-0000-0000-000026040000}"/>
    <cellStyle name="Input [yellow]" xfId="1071" xr:uid="{00000000-0005-0000-0000-000027040000}"/>
    <cellStyle name="Input Comma" xfId="1072" xr:uid="{00000000-0005-0000-0000-000028040000}"/>
    <cellStyle name="Input Comma [0]" xfId="1073" xr:uid="{00000000-0005-0000-0000-000029040000}"/>
    <cellStyle name="Input Currency" xfId="1074" xr:uid="{00000000-0005-0000-0000-00002A040000}"/>
    <cellStyle name="Input Currency [0]" xfId="1075" xr:uid="{00000000-0005-0000-0000-00002B040000}"/>
    <cellStyle name="Input Percent" xfId="1076" xr:uid="{00000000-0005-0000-0000-00002C040000}"/>
    <cellStyle name="Input Percent [0]" xfId="1077" xr:uid="{00000000-0005-0000-0000-00002D040000}"/>
    <cellStyle name="Inputs" xfId="1078" xr:uid="{00000000-0005-0000-0000-00002E040000}"/>
    <cellStyle name="Italics" xfId="1079" xr:uid="{00000000-0005-0000-0000-00002F040000}"/>
    <cellStyle name="Lable8Left" xfId="1080" xr:uid="{00000000-0005-0000-0000-000030040000}"/>
    <cellStyle name="left" xfId="1081" xr:uid="{00000000-0005-0000-0000-000031040000}"/>
    <cellStyle name="Ligne" xfId="1082" xr:uid="{00000000-0005-0000-0000-000032040000}"/>
    <cellStyle name="Lines" xfId="1083" xr:uid="{00000000-0005-0000-0000-000033040000}"/>
    <cellStyle name="Link Currency (0)" xfId="1084" xr:uid="{00000000-0005-0000-0000-000034040000}"/>
    <cellStyle name="Link Currency (2)" xfId="1085" xr:uid="{00000000-0005-0000-0000-000035040000}"/>
    <cellStyle name="Link Units (0)" xfId="1086" xr:uid="{00000000-0005-0000-0000-000036040000}"/>
    <cellStyle name="Link Units (1)" xfId="1087" xr:uid="{00000000-0005-0000-0000-000037040000}"/>
    <cellStyle name="Link Units (2)" xfId="1088" xr:uid="{00000000-0005-0000-0000-000038040000}"/>
    <cellStyle name="Linked" xfId="1089" xr:uid="{00000000-0005-0000-0000-000039040000}"/>
    <cellStyle name="LISAM" xfId="1090" xr:uid="{00000000-0005-0000-0000-00003A040000}"/>
    <cellStyle name="M" xfId="1091" xr:uid="{00000000-0005-0000-0000-00003B040000}"/>
    <cellStyle name="Margins" xfId="1092" xr:uid="{00000000-0005-0000-0000-00003C040000}"/>
    <cellStyle name="Migliaia (0)_Foglio1 (2)" xfId="1093" xr:uid="{00000000-0005-0000-0000-00003D040000}"/>
    <cellStyle name="Migliaia_Foglio1 (2)" xfId="1094" xr:uid="{00000000-0005-0000-0000-00003E040000}"/>
    <cellStyle name="Millares [0]_results" xfId="1095" xr:uid="{00000000-0005-0000-0000-00003F040000}"/>
    <cellStyle name="Millares_results" xfId="1096" xr:uid="{00000000-0005-0000-0000-000040040000}"/>
    <cellStyle name="Milliers [0]_!!!GO" xfId="1097" xr:uid="{00000000-0005-0000-0000-000041040000}"/>
    <cellStyle name="Milliers_!!!GO" xfId="1098" xr:uid="{00000000-0005-0000-0000-000042040000}"/>
    <cellStyle name="Moeda [0]_Arrendamiraflores" xfId="1099" xr:uid="{00000000-0005-0000-0000-000043040000}"/>
    <cellStyle name="Moeda_Arrendamiraflores" xfId="1100" xr:uid="{00000000-0005-0000-0000-000044040000}"/>
    <cellStyle name="Moneda [0]_results" xfId="1101" xr:uid="{00000000-0005-0000-0000-000045040000}"/>
    <cellStyle name="Moneda_results" xfId="1102" xr:uid="{00000000-0005-0000-0000-000046040000}"/>
    <cellStyle name="Monétaire [0]_!!!GO" xfId="1103" xr:uid="{00000000-0005-0000-0000-000047040000}"/>
    <cellStyle name="Monétaire_!!!GO" xfId="1104" xr:uid="{00000000-0005-0000-0000-000048040000}"/>
    <cellStyle name="MSectionHeadings" xfId="1105" xr:uid="{00000000-0005-0000-0000-000049040000}"/>
    <cellStyle name="Multiple" xfId="1106" xr:uid="{00000000-0005-0000-0000-00004A040000}"/>
    <cellStyle name="Multiple (no x)" xfId="1107" xr:uid="{00000000-0005-0000-0000-00004B040000}"/>
    <cellStyle name="Multiple (with x)" xfId="1108" xr:uid="{00000000-0005-0000-0000-00004C040000}"/>
    <cellStyle name="Multiple_09.01.01_Property_Tax_Basis1" xfId="1109" xr:uid="{00000000-0005-0000-0000-00004D040000}"/>
    <cellStyle name="no dec" xfId="1110" xr:uid="{00000000-0005-0000-0000-00004E040000}"/>
    <cellStyle name="nodle1" xfId="1111" xr:uid="{00000000-0005-0000-0000-00004F040000}"/>
    <cellStyle name="Normal" xfId="0" builtinId="0"/>
    <cellStyle name="Normal - Style1" xfId="1112" xr:uid="{00000000-0005-0000-0000-000051040000}"/>
    <cellStyle name="Normal 10" xfId="1347" xr:uid="{00000000-0005-0000-0000-000052040000}"/>
    <cellStyle name="Normal 11" xfId="1348" xr:uid="{00000000-0005-0000-0000-000053040000}"/>
    <cellStyle name="Normal 12" xfId="1352" xr:uid="{00000000-0005-0000-0000-000054040000}"/>
    <cellStyle name="Normal 13" xfId="1349" xr:uid="{00000000-0005-0000-0000-000055040000}"/>
    <cellStyle name="Normal 2" xfId="2" xr:uid="{00000000-0005-0000-0000-000056040000}"/>
    <cellStyle name="Normal 2 2" xfId="5" xr:uid="{00000000-0005-0000-0000-000057040000}"/>
    <cellStyle name="Normal 2 3" xfId="9" xr:uid="{00000000-0005-0000-0000-000058040000}"/>
    <cellStyle name="Normal 2 4" xfId="1356" xr:uid="{00000000-0005-0000-0000-000059040000}"/>
    <cellStyle name="Normal 3" xfId="6" xr:uid="{00000000-0005-0000-0000-00005A040000}"/>
    <cellStyle name="Normal 3 3" xfId="21" xr:uid="{00000000-0005-0000-0000-00005B040000}"/>
    <cellStyle name="Normal 4" xfId="15" xr:uid="{00000000-0005-0000-0000-00005C040000}"/>
    <cellStyle name="Normal 4 2" xfId="23" xr:uid="{00000000-0005-0000-0000-00005D040000}"/>
    <cellStyle name="Normal 5" xfId="19" xr:uid="{00000000-0005-0000-0000-00005E040000}"/>
    <cellStyle name="Normal 6" xfId="127" xr:uid="{00000000-0005-0000-0000-00005F040000}"/>
    <cellStyle name="Normal 6 2" xfId="1334" xr:uid="{00000000-0005-0000-0000-000060040000}"/>
    <cellStyle name="Normal 6 3" xfId="1353" xr:uid="{00000000-0005-0000-0000-000061040000}"/>
    <cellStyle name="Normal 7" xfId="129" xr:uid="{00000000-0005-0000-0000-000062040000}"/>
    <cellStyle name="Normal 7 2" xfId="1332" xr:uid="{00000000-0005-0000-0000-000063040000}"/>
    <cellStyle name="Normal 7 3" xfId="1339" xr:uid="{00000000-0005-0000-0000-000064040000}"/>
    <cellStyle name="Normal 8" xfId="1113" xr:uid="{00000000-0005-0000-0000-000065040000}"/>
    <cellStyle name="Normal 9" xfId="1331" xr:uid="{00000000-0005-0000-0000-000066040000}"/>
    <cellStyle name="Normal_Simple pro-forma" xfId="14" xr:uid="{00000000-0005-0000-0000-000068040000}"/>
    <cellStyle name="NormalBack" xfId="1114" xr:uid="{00000000-0005-0000-0000-00006A040000}"/>
    <cellStyle name="NormalBorder" xfId="1115" xr:uid="{00000000-0005-0000-0000-00006B040000}"/>
    <cellStyle name="Normale_INVENTARIO AL 31.12.99 Con composizioni2BUSSI" xfId="1116" xr:uid="{00000000-0005-0000-0000-00006C040000}"/>
    <cellStyle name="NormalGB" xfId="1117" xr:uid="{00000000-0005-0000-0000-00006D040000}"/>
    <cellStyle name="NormalLeft" xfId="1118" xr:uid="{00000000-0005-0000-0000-00006E040000}"/>
    <cellStyle name="NormalNumber%" xfId="1119" xr:uid="{00000000-0005-0000-0000-00006F040000}"/>
    <cellStyle name="NormalRightNum" xfId="1120" xr:uid="{00000000-0005-0000-0000-000070040000}"/>
    <cellStyle name="NormalRightPercent" xfId="1121" xr:uid="{00000000-0005-0000-0000-000071040000}"/>
    <cellStyle name="nPlode" xfId="1122" xr:uid="{00000000-0005-0000-0000-000072040000}"/>
    <cellStyle name="nPlode1" xfId="1123" xr:uid="{00000000-0005-0000-0000-000073040000}"/>
    <cellStyle name="nPlode2" xfId="1124" xr:uid="{00000000-0005-0000-0000-000074040000}"/>
    <cellStyle name="nPlode3" xfId="1125" xr:uid="{00000000-0005-0000-0000-000075040000}"/>
    <cellStyle name="nPlosion" xfId="1126" xr:uid="{00000000-0005-0000-0000-000076040000}"/>
    <cellStyle name="NPRO" xfId="1127" xr:uid="{00000000-0005-0000-0000-000077040000}"/>
    <cellStyle name="Num0Un" xfId="1128" xr:uid="{00000000-0005-0000-0000-000078040000}"/>
    <cellStyle name="Num1" xfId="1129" xr:uid="{00000000-0005-0000-0000-000079040000}"/>
    <cellStyle name="Num1Blue" xfId="1130" xr:uid="{00000000-0005-0000-0000-00007A040000}"/>
    <cellStyle name="Num2" xfId="1131" xr:uid="{00000000-0005-0000-0000-00007B040000}"/>
    <cellStyle name="Num2Un" xfId="1132" xr:uid="{00000000-0005-0000-0000-00007C040000}"/>
    <cellStyle name="Number" xfId="1133" xr:uid="{00000000-0005-0000-0000-00007D040000}"/>
    <cellStyle name="OddBodyShade" xfId="1134" xr:uid="{00000000-0005-0000-0000-00007E040000}"/>
    <cellStyle name="OddBodyShade 2" xfId="1135" xr:uid="{00000000-0005-0000-0000-00007F040000}"/>
    <cellStyle name="OddBodyShade 3" xfId="1136" xr:uid="{00000000-0005-0000-0000-000080040000}"/>
    <cellStyle name="OddBodyShade 4" xfId="1137" xr:uid="{00000000-0005-0000-0000-000081040000}"/>
    <cellStyle name="OddBodyShade 5" xfId="1138" xr:uid="{00000000-0005-0000-0000-000082040000}"/>
    <cellStyle name="OddBodyShade 9" xfId="1139" xr:uid="{00000000-0005-0000-0000-000083040000}"/>
    <cellStyle name="Œ…‹æØ‚è [0.00]_!!!GO" xfId="1140" xr:uid="{00000000-0005-0000-0000-000084040000}"/>
    <cellStyle name="Œ…‹æØ‚è_!!!GO" xfId="1141" xr:uid="{00000000-0005-0000-0000-000085040000}"/>
    <cellStyle name="One Pager Input" xfId="1142" xr:uid="{00000000-0005-0000-0000-000086040000}"/>
    <cellStyle name="OutlineSpec" xfId="1143" xr:uid="{00000000-0005-0000-0000-000087040000}"/>
    <cellStyle name="Output Amounts" xfId="1144" xr:uid="{00000000-0005-0000-0000-000088040000}"/>
    <cellStyle name="Output Column Headings" xfId="1145" xr:uid="{00000000-0005-0000-0000-000089040000}"/>
    <cellStyle name="Output Line Items" xfId="1146" xr:uid="{00000000-0005-0000-0000-00008A040000}"/>
    <cellStyle name="Output Report Heading" xfId="1147" xr:uid="{00000000-0005-0000-0000-00008B040000}"/>
    <cellStyle name="Output Report Title" xfId="1148" xr:uid="{00000000-0005-0000-0000-00008C040000}"/>
    <cellStyle name="Overscore" xfId="1149" xr:uid="{00000000-0005-0000-0000-00008D040000}"/>
    <cellStyle name="Overscore 2" xfId="1150" xr:uid="{00000000-0005-0000-0000-00008E040000}"/>
    <cellStyle name="Overscore 3" xfId="1151" xr:uid="{00000000-0005-0000-0000-00008F040000}"/>
    <cellStyle name="Overscore 4" xfId="1152" xr:uid="{00000000-0005-0000-0000-000090040000}"/>
    <cellStyle name="Overscore 5" xfId="1153" xr:uid="{00000000-0005-0000-0000-000091040000}"/>
    <cellStyle name="Overscore 9" xfId="1154" xr:uid="{00000000-0005-0000-0000-000092040000}"/>
    <cellStyle name="Overunder" xfId="1155" xr:uid="{00000000-0005-0000-0000-000093040000}"/>
    <cellStyle name="P" xfId="1156" xr:uid="{00000000-0005-0000-0000-000094040000}"/>
    <cellStyle name="Page Heading" xfId="1157" xr:uid="{00000000-0005-0000-0000-000095040000}"/>
    <cellStyle name="Page Heading Large" xfId="1158" xr:uid="{00000000-0005-0000-0000-000096040000}"/>
    <cellStyle name="Page Heading Small" xfId="1159" xr:uid="{00000000-0005-0000-0000-000097040000}"/>
    <cellStyle name="Page Number" xfId="1160" xr:uid="{00000000-0005-0000-0000-000098040000}"/>
    <cellStyle name="Page Title (Blue/Gray)" xfId="1161" xr:uid="{00000000-0005-0000-0000-000099040000}"/>
    <cellStyle name="patterns" xfId="1162" xr:uid="{00000000-0005-0000-0000-00009A040000}"/>
    <cellStyle name="PB Table Heading" xfId="1163" xr:uid="{00000000-0005-0000-0000-00009B040000}"/>
    <cellStyle name="PB Table Highlight1" xfId="1164" xr:uid="{00000000-0005-0000-0000-00009C040000}"/>
    <cellStyle name="PB Table Highlight2" xfId="1165" xr:uid="{00000000-0005-0000-0000-00009D040000}"/>
    <cellStyle name="PB Table Highlight3" xfId="1166" xr:uid="{00000000-0005-0000-0000-00009E040000}"/>
    <cellStyle name="PB Table Standard Row" xfId="1167" xr:uid="{00000000-0005-0000-0000-00009F040000}"/>
    <cellStyle name="PB Table Subtotal Row" xfId="1168" xr:uid="{00000000-0005-0000-0000-0000A0040000}"/>
    <cellStyle name="PB Table Total Row" xfId="1169" xr:uid="{00000000-0005-0000-0000-0000A1040000}"/>
    <cellStyle name="pb_page_heading_LS" xfId="1170" xr:uid="{00000000-0005-0000-0000-0000A2040000}"/>
    <cellStyle name="per.style" xfId="1171" xr:uid="{00000000-0005-0000-0000-0000A3040000}"/>
    <cellStyle name="Perc1" xfId="1172" xr:uid="{00000000-0005-0000-0000-0000A4040000}"/>
    <cellStyle name="Percen - Style1" xfId="1173" xr:uid="{00000000-0005-0000-0000-0000A5040000}"/>
    <cellStyle name="Percen - Style2" xfId="1174" xr:uid="{00000000-0005-0000-0000-0000A6040000}"/>
    <cellStyle name="Percen - Style3" xfId="1175" xr:uid="{00000000-0005-0000-0000-0000A7040000}"/>
    <cellStyle name="Percent" xfId="1" builtinId="5"/>
    <cellStyle name="Percent [0%]" xfId="1176" xr:uid="{00000000-0005-0000-0000-0000AB040000}"/>
    <cellStyle name="Percent [0.00%]" xfId="1177" xr:uid="{00000000-0005-0000-0000-0000A9040000}"/>
    <cellStyle name="Percent [0]" xfId="1178" xr:uid="{00000000-0005-0000-0000-0000AA040000}"/>
    <cellStyle name="Percent [00]" xfId="1179" xr:uid="{00000000-0005-0000-0000-0000AC040000}"/>
    <cellStyle name="Percent [2]" xfId="1180" xr:uid="{00000000-0005-0000-0000-0000AD040000}"/>
    <cellStyle name="percent 1 decimal" xfId="1181" xr:uid="{00000000-0005-0000-0000-0000AE040000}"/>
    <cellStyle name="Percent 2" xfId="7" xr:uid="{00000000-0005-0000-0000-0000AF040000}"/>
    <cellStyle name="Percent 2 2" xfId="8" xr:uid="{00000000-0005-0000-0000-0000B0040000}"/>
    <cellStyle name="Percent 2 2 2" xfId="24" xr:uid="{00000000-0005-0000-0000-0000B1040000}"/>
    <cellStyle name="Percent 2 3" xfId="10" xr:uid="{00000000-0005-0000-0000-0000B2040000}"/>
    <cellStyle name="percent 2 decimal" xfId="1182" xr:uid="{00000000-0005-0000-0000-0000B3040000}"/>
    <cellStyle name="Percent 3" xfId="13" xr:uid="{00000000-0005-0000-0000-0000B4040000}"/>
    <cellStyle name="Percent 4" xfId="16" xr:uid="{00000000-0005-0000-0000-0000B5040000}"/>
    <cellStyle name="Percent 5" xfId="128" xr:uid="{00000000-0005-0000-0000-0000B6040000}"/>
    <cellStyle name="Percent 5 2" xfId="1335" xr:uid="{00000000-0005-0000-0000-0000B7040000}"/>
    <cellStyle name="Percent 5 3" xfId="1354" xr:uid="{00000000-0005-0000-0000-0000B8040000}"/>
    <cellStyle name="Percent 6" xfId="130" xr:uid="{00000000-0005-0000-0000-0000B9040000}"/>
    <cellStyle name="Percent 6 2" xfId="1333" xr:uid="{00000000-0005-0000-0000-0000BA040000}"/>
    <cellStyle name="Percent 6 3" xfId="1340" xr:uid="{00000000-0005-0000-0000-0000BB040000}"/>
    <cellStyle name="Percent Hard" xfId="1183" xr:uid="{00000000-0005-0000-0000-0000BC040000}"/>
    <cellStyle name="percent no decimal" xfId="1184" xr:uid="{00000000-0005-0000-0000-0000BD040000}"/>
    <cellStyle name="Percent(4places)TotTop" xfId="1185" xr:uid="{00000000-0005-0000-0000-0000BE040000}"/>
    <cellStyle name="Percent1" xfId="1186" xr:uid="{00000000-0005-0000-0000-0000BF040000}"/>
    <cellStyle name="Percent1Blue" xfId="1187" xr:uid="{00000000-0005-0000-0000-0000C0040000}"/>
    <cellStyle name="Percent2" xfId="1188" xr:uid="{00000000-0005-0000-0000-0000C1040000}"/>
    <cellStyle name="Percent2Blue" xfId="1189" xr:uid="{00000000-0005-0000-0000-0000C2040000}"/>
    <cellStyle name="PercentTotal" xfId="1190" xr:uid="{00000000-0005-0000-0000-0000C3040000}"/>
    <cellStyle name="Pounds" xfId="1191" xr:uid="{00000000-0005-0000-0000-0000C4040000}"/>
    <cellStyle name="Pourcentage_agree" xfId="1192" xr:uid="{00000000-0005-0000-0000-0000C5040000}"/>
    <cellStyle name="PrePop Currency (0)" xfId="1193" xr:uid="{00000000-0005-0000-0000-0000C6040000}"/>
    <cellStyle name="PrePop Currency (2)" xfId="1194" xr:uid="{00000000-0005-0000-0000-0000C7040000}"/>
    <cellStyle name="PrePop Units (0)" xfId="1195" xr:uid="{00000000-0005-0000-0000-0000C8040000}"/>
    <cellStyle name="PrePop Units (1)" xfId="1196" xr:uid="{00000000-0005-0000-0000-0000C9040000}"/>
    <cellStyle name="PrePop Units (2)" xfId="1197" xr:uid="{00000000-0005-0000-0000-0000CA040000}"/>
    <cellStyle name="Price" xfId="1198" xr:uid="{00000000-0005-0000-0000-0000CB040000}"/>
    <cellStyle name="PriceUn" xfId="1199" xr:uid="{00000000-0005-0000-0000-0000CC040000}"/>
    <cellStyle name="pricing" xfId="1200" xr:uid="{00000000-0005-0000-0000-0000CD040000}"/>
    <cellStyle name="PSChar" xfId="1201" xr:uid="{00000000-0005-0000-0000-0000CE040000}"/>
    <cellStyle name="PSDate" xfId="1202" xr:uid="{00000000-0005-0000-0000-0000CF040000}"/>
    <cellStyle name="PSDec" xfId="1203" xr:uid="{00000000-0005-0000-0000-0000D0040000}"/>
    <cellStyle name="PSHeading" xfId="1204" xr:uid="{00000000-0005-0000-0000-0000D1040000}"/>
    <cellStyle name="PSInt" xfId="1205" xr:uid="{00000000-0005-0000-0000-0000D2040000}"/>
    <cellStyle name="PSSpacer" xfId="1206" xr:uid="{00000000-0005-0000-0000-0000D3040000}"/>
    <cellStyle name="Reg1" xfId="1207" xr:uid="{00000000-0005-0000-0000-0000D4040000}"/>
    <cellStyle name="Reg2" xfId="1208" xr:uid="{00000000-0005-0000-0000-0000D5040000}"/>
    <cellStyle name="Reg3" xfId="1209" xr:uid="{00000000-0005-0000-0000-0000D6040000}"/>
    <cellStyle name="Reg4" xfId="1210" xr:uid="{00000000-0005-0000-0000-0000D7040000}"/>
    <cellStyle name="Reg5" xfId="1211" xr:uid="{00000000-0005-0000-0000-0000D8040000}"/>
    <cellStyle name="Reg6" xfId="1212" xr:uid="{00000000-0005-0000-0000-0000D9040000}"/>
    <cellStyle name="Reg7" xfId="1213" xr:uid="{00000000-0005-0000-0000-0000DA040000}"/>
    <cellStyle name="Reg8" xfId="1214" xr:uid="{00000000-0005-0000-0000-0000DB040000}"/>
    <cellStyle name="Reg9" xfId="1215" xr:uid="{00000000-0005-0000-0000-0000DC040000}"/>
    <cellStyle name="regstoresfromspecstores" xfId="1216" xr:uid="{00000000-0005-0000-0000-0000DD040000}"/>
    <cellStyle name="RevList" xfId="1217" xr:uid="{00000000-0005-0000-0000-0000DE040000}"/>
    <cellStyle name="Right" xfId="1218" xr:uid="{00000000-0005-0000-0000-0000DF040000}"/>
    <cellStyle name="s" xfId="1219" xr:uid="{00000000-0005-0000-0000-0000E0040000}"/>
    <cellStyle name="Salomon Logo" xfId="1220" xr:uid="{00000000-0005-0000-0000-0000E1040000}"/>
    <cellStyle name="ScotchRule" xfId="1221" xr:uid="{00000000-0005-0000-0000-0000E2040000}"/>
    <cellStyle name="Second Heading_dynex lihtcperm" xfId="1222" xr:uid="{00000000-0005-0000-0000-0000E3040000}"/>
    <cellStyle name="Separador de milhares [0]_Arrendamiraflores" xfId="1223" xr:uid="{00000000-0005-0000-0000-0000E4040000}"/>
    <cellStyle name="Shaded" xfId="1224" xr:uid="{00000000-0005-0000-0000-0000E5040000}"/>
    <cellStyle name="SHADEDSTORES" xfId="1225" xr:uid="{00000000-0005-0000-0000-0000E6040000}"/>
    <cellStyle name="Single Accounting" xfId="1226" xr:uid="{00000000-0005-0000-0000-0000E7040000}"/>
    <cellStyle name="Small Page Heading" xfId="1227" xr:uid="{00000000-0005-0000-0000-0000E8040000}"/>
    <cellStyle name="Sous-Total" xfId="1228" xr:uid="{00000000-0005-0000-0000-0000E9040000}"/>
    <cellStyle name="SpecialHeader" xfId="1229" xr:uid="{00000000-0005-0000-0000-0000EA040000}"/>
    <cellStyle name="specstores" xfId="1230" xr:uid="{00000000-0005-0000-0000-0000EB040000}"/>
    <cellStyle name="Standaard_Almere" xfId="1231" xr:uid="{00000000-0005-0000-0000-0000EC040000}"/>
    <cellStyle name="Standard_1CC-N-12" xfId="1232" xr:uid="{00000000-0005-0000-0000-0000ED040000}"/>
    <cellStyle name="Style 1" xfId="1233" xr:uid="{00000000-0005-0000-0000-0000EE040000}"/>
    <cellStyle name="Style１" xfId="1234" xr:uid="{00000000-0005-0000-0000-0000EF040000}"/>
    <cellStyle name="subhead" xfId="1235" xr:uid="{00000000-0005-0000-0000-0000F0040000}"/>
    <cellStyle name="SubHeader" xfId="1236" xr:uid="{00000000-0005-0000-0000-0000F1040000}"/>
    <cellStyle name="Subscribers" xfId="1237" xr:uid="{00000000-0005-0000-0000-0000F2040000}"/>
    <cellStyle name="Subtitle" xfId="1238" xr:uid="{00000000-0005-0000-0000-0000F3040000}"/>
    <cellStyle name="SubTotal" xfId="1239" xr:uid="{00000000-0005-0000-0000-0000F4040000}"/>
    <cellStyle name="T" xfId="1240" xr:uid="{00000000-0005-0000-0000-0000F5040000}"/>
    <cellStyle name="Table Col Head" xfId="1241" xr:uid="{00000000-0005-0000-0000-0000F6040000}"/>
    <cellStyle name="Table Head" xfId="1242" xr:uid="{00000000-0005-0000-0000-0000F7040000}"/>
    <cellStyle name="Table Head Aligned" xfId="1243" xr:uid="{00000000-0005-0000-0000-0000F8040000}"/>
    <cellStyle name="Table Head Blue" xfId="1244" xr:uid="{00000000-0005-0000-0000-0000F9040000}"/>
    <cellStyle name="Table Head Green" xfId="1245" xr:uid="{00000000-0005-0000-0000-0000FA040000}"/>
    <cellStyle name="Table Head_Alamosa Bids II" xfId="1246" xr:uid="{00000000-0005-0000-0000-0000FB040000}"/>
    <cellStyle name="Table Heading" xfId="1247" xr:uid="{00000000-0005-0000-0000-0000FC040000}"/>
    <cellStyle name="Table Sub Head" xfId="1248" xr:uid="{00000000-0005-0000-0000-0000FD040000}"/>
    <cellStyle name="Table Text" xfId="1249" xr:uid="{00000000-0005-0000-0000-0000FE040000}"/>
    <cellStyle name="Table Title" xfId="1250" xr:uid="{00000000-0005-0000-0000-0000FF040000}"/>
    <cellStyle name="Table Units" xfId="1251" xr:uid="{00000000-0005-0000-0000-000000050000}"/>
    <cellStyle name="Table_Header" xfId="1252" xr:uid="{00000000-0005-0000-0000-000001050000}"/>
    <cellStyle name="TableBody_sbcpac" xfId="1253" xr:uid="{00000000-0005-0000-0000-000002050000}"/>
    <cellStyle name="Text 1" xfId="1254" xr:uid="{00000000-0005-0000-0000-000003050000}"/>
    <cellStyle name="Text 8" xfId="1255" xr:uid="{00000000-0005-0000-0000-000004050000}"/>
    <cellStyle name="Text Head 1" xfId="1256" xr:uid="{00000000-0005-0000-0000-000005050000}"/>
    <cellStyle name="Text Indent A" xfId="1257" xr:uid="{00000000-0005-0000-0000-000006050000}"/>
    <cellStyle name="Text Indent B" xfId="1258" xr:uid="{00000000-0005-0000-0000-000007050000}"/>
    <cellStyle name="Text Indent C" xfId="1259" xr:uid="{00000000-0005-0000-0000-000008050000}"/>
    <cellStyle name="TIME" xfId="1260" xr:uid="{00000000-0005-0000-0000-000009050000}"/>
    <cellStyle name="Times 10" xfId="1261" xr:uid="{00000000-0005-0000-0000-00000A050000}"/>
    <cellStyle name="Times 12" xfId="1262" xr:uid="{00000000-0005-0000-0000-00000B050000}"/>
    <cellStyle name="Times New Roman" xfId="1263" xr:uid="{00000000-0005-0000-0000-00000C050000}"/>
    <cellStyle name="times roman" xfId="1264" xr:uid="{00000000-0005-0000-0000-00000D050000}"/>
    <cellStyle name="Title1" xfId="1265" xr:uid="{00000000-0005-0000-0000-00000E050000}"/>
    <cellStyle name="Title10" xfId="1266" xr:uid="{00000000-0005-0000-0000-00000F050000}"/>
    <cellStyle name="Title2" xfId="1267" xr:uid="{00000000-0005-0000-0000-000010050000}"/>
    <cellStyle name="Title8" xfId="1268" xr:uid="{00000000-0005-0000-0000-000011050000}"/>
    <cellStyle name="Title8Left" xfId="1269" xr:uid="{00000000-0005-0000-0000-000012050000}"/>
    <cellStyle name="TitleCenter" xfId="1270" xr:uid="{00000000-0005-0000-0000-000013050000}"/>
    <cellStyle name="TitleLeft" xfId="1271" xr:uid="{00000000-0005-0000-0000-000014050000}"/>
    <cellStyle name="TitleOther" xfId="1272" xr:uid="{00000000-0005-0000-0000-000015050000}"/>
    <cellStyle name="Titolo1" xfId="1273" xr:uid="{00000000-0005-0000-0000-000016050000}"/>
    <cellStyle name="Titolo2" xfId="1274" xr:uid="{00000000-0005-0000-0000-000017050000}"/>
    <cellStyle name="Titolo3" xfId="1275" xr:uid="{00000000-0005-0000-0000-000018050000}"/>
    <cellStyle name="topline" xfId="1276" xr:uid="{00000000-0005-0000-0000-000019050000}"/>
    <cellStyle name="TopThick" xfId="1277" xr:uid="{00000000-0005-0000-0000-00001A050000}"/>
    <cellStyle name="Total1" xfId="1278" xr:uid="{00000000-0005-0000-0000-00001B050000}"/>
    <cellStyle name="Total2" xfId="1279" xr:uid="{00000000-0005-0000-0000-00001C050000}"/>
    <cellStyle name="Total3" xfId="1280" xr:uid="{00000000-0005-0000-0000-00001D050000}"/>
    <cellStyle name="Total4" xfId="1281" xr:uid="{00000000-0005-0000-0000-00001E050000}"/>
    <cellStyle name="Total5" xfId="1282" xr:uid="{00000000-0005-0000-0000-00001F050000}"/>
    <cellStyle name="Total6" xfId="1283" xr:uid="{00000000-0005-0000-0000-000020050000}"/>
    <cellStyle name="Total7" xfId="1284" xr:uid="{00000000-0005-0000-0000-000021050000}"/>
    <cellStyle name="Total8" xfId="1285" xr:uid="{00000000-0005-0000-0000-000022050000}"/>
    <cellStyle name="Total9" xfId="1286" xr:uid="{00000000-0005-0000-0000-000023050000}"/>
    <cellStyle name="Totals" xfId="1287" xr:uid="{00000000-0005-0000-0000-000024050000}"/>
    <cellStyle name="TotalsComma" xfId="1288" xr:uid="{00000000-0005-0000-0000-000025050000}"/>
    <cellStyle name="TotShade" xfId="1289" xr:uid="{00000000-0005-0000-0000-000026050000}"/>
    <cellStyle name="TotShade 2" xfId="1290" xr:uid="{00000000-0005-0000-0000-000027050000}"/>
    <cellStyle name="TotShade 3" xfId="1291" xr:uid="{00000000-0005-0000-0000-000028050000}"/>
    <cellStyle name="TotShade 4" xfId="1292" xr:uid="{00000000-0005-0000-0000-000029050000}"/>
    <cellStyle name="TotShade 5" xfId="1293" xr:uid="{00000000-0005-0000-0000-00002A050000}"/>
    <cellStyle name="TotShade 9" xfId="1294" xr:uid="{00000000-0005-0000-0000-00002B050000}"/>
    <cellStyle name="TransVal" xfId="1295" xr:uid="{00000000-0005-0000-0000-00002C050000}"/>
    <cellStyle name="ubordinated Debt" xfId="1296" xr:uid="{00000000-0005-0000-0000-00002D050000}"/>
    <cellStyle name="underline 1 decimal" xfId="1297" xr:uid="{00000000-0005-0000-0000-00002E050000}"/>
    <cellStyle name="underline 2 decimals" xfId="1298" xr:uid="{00000000-0005-0000-0000-00002F050000}"/>
    <cellStyle name="underline flush left" xfId="1299" xr:uid="{00000000-0005-0000-0000-000030050000}"/>
    <cellStyle name="underline no decimals" xfId="1300" xr:uid="{00000000-0005-0000-0000-000031050000}"/>
    <cellStyle name="Underline_Single" xfId="1301" xr:uid="{00000000-0005-0000-0000-000032050000}"/>
    <cellStyle name="Underscore" xfId="1302" xr:uid="{00000000-0005-0000-0000-000033050000}"/>
    <cellStyle name="Underscore 2" xfId="1303" xr:uid="{00000000-0005-0000-0000-000034050000}"/>
    <cellStyle name="Underscore 3" xfId="1304" xr:uid="{00000000-0005-0000-0000-000035050000}"/>
    <cellStyle name="Underscore 4" xfId="1305" xr:uid="{00000000-0005-0000-0000-000036050000}"/>
    <cellStyle name="Underscore 5" xfId="1306" xr:uid="{00000000-0005-0000-0000-000037050000}"/>
    <cellStyle name="Underscore 9" xfId="1307" xr:uid="{00000000-0005-0000-0000-000038050000}"/>
    <cellStyle name="Unprot" xfId="1308" xr:uid="{00000000-0005-0000-0000-000039050000}"/>
    <cellStyle name="Unprot$" xfId="1309" xr:uid="{00000000-0005-0000-0000-00003A050000}"/>
    <cellStyle name="Unprotect" xfId="1310" xr:uid="{00000000-0005-0000-0000-00003B050000}"/>
    <cellStyle name="User_Defined_A" xfId="1311" xr:uid="{00000000-0005-0000-0000-00003C050000}"/>
    <cellStyle name="Valuta (0)_Foglio1 (2)" xfId="1312" xr:uid="{00000000-0005-0000-0000-00003D050000}"/>
    <cellStyle name="Valuta_Foglio1 (2)" xfId="1313" xr:uid="{00000000-0005-0000-0000-00003E050000}"/>
    <cellStyle name="Vírgula_Arrendamiraflores" xfId="1314" xr:uid="{00000000-0005-0000-0000-00003F050000}"/>
    <cellStyle name="White" xfId="1315" xr:uid="{00000000-0005-0000-0000-000040050000}"/>
    <cellStyle name="y" xfId="1316" xr:uid="{00000000-0005-0000-0000-000041050000}"/>
    <cellStyle name="y_Citrix_2pgr2" xfId="1317" xr:uid="{00000000-0005-0000-0000-000042050000}"/>
    <cellStyle name="y_Iron-Steel" xfId="1318" xr:uid="{00000000-0005-0000-0000-000043050000}"/>
    <cellStyle name="y_MERQ_6-14_V8" xfId="1319" xr:uid="{00000000-0005-0000-0000-000044050000}"/>
    <cellStyle name="y_RATL_SRNA synergies" xfId="1320" xr:uid="{00000000-0005-0000-0000-000045050000}"/>
    <cellStyle name="y_Valuation_Jan2" xfId="1321" xr:uid="{00000000-0005-0000-0000-000046050000}"/>
    <cellStyle name="year" xfId="1322" xr:uid="{00000000-0005-0000-0000-000047050000}"/>
    <cellStyle name="Yen" xfId="1323" xr:uid="{00000000-0005-0000-0000-000048050000}"/>
    <cellStyle name="YES NO" xfId="1324" xr:uid="{00000000-0005-0000-0000-000049050000}"/>
    <cellStyle name="型番" xfId="1325" xr:uid="{00000000-0005-0000-0000-00004A050000}"/>
    <cellStyle name="桁区切り [0.00]_Book2" xfId="1326" xr:uid="{00000000-0005-0000-0000-00004B050000}"/>
    <cellStyle name="桁区切り_AssetBalance Template" xfId="1327" xr:uid="{00000000-0005-0000-0000-00004C050000}"/>
    <cellStyle name="標準_1Q01SS-backup_Megalon 3Q2" xfId="1328" xr:uid="{00000000-0005-0000-0000-00004D050000}"/>
    <cellStyle name="通貨 [0.00]_Book2" xfId="1329" xr:uid="{00000000-0005-0000-0000-00004E050000}"/>
    <cellStyle name="通貨_Book2" xfId="1330" xr:uid="{00000000-0005-0000-0000-00004F050000}"/>
  </cellStyles>
  <dxfs count="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hyperlink" Target="#'Table of Content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hyperlink" Target="#'Table of Content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hyperlink" Target="#'Table of Content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hyperlink" Target="#'Table of Content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786848</xdr:colOff>
      <xdr:row>25</xdr:row>
      <xdr:rowOff>96631</xdr:rowOff>
    </xdr:from>
    <xdr:to>
      <xdr:col>8</xdr:col>
      <xdr:colOff>159854</xdr:colOff>
      <xdr:row>46</xdr:row>
      <xdr:rowOff>158402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925101C-C99F-4ACA-830F-636DE1A0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5761" y="4928153"/>
          <a:ext cx="8185978" cy="4120249"/>
        </a:xfrm>
        <a:prstGeom prst="rect">
          <a:avLst/>
        </a:prstGeom>
      </xdr:spPr>
    </xdr:pic>
    <xdr:clientData/>
  </xdr:twoCellAnchor>
  <xdr:twoCellAnchor editAs="oneCell">
    <xdr:from>
      <xdr:col>9</xdr:col>
      <xdr:colOff>392324</xdr:colOff>
      <xdr:row>26</xdr:row>
      <xdr:rowOff>101017</xdr:rowOff>
    </xdr:from>
    <xdr:to>
      <xdr:col>14</xdr:col>
      <xdr:colOff>138816</xdr:colOff>
      <xdr:row>45</xdr:row>
      <xdr:rowOff>87213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72E5B23-444F-41E1-9138-220D8EC17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31824" y="5345370"/>
          <a:ext cx="6738962" cy="3818608"/>
        </a:xfrm>
        <a:prstGeom prst="rect">
          <a:avLst/>
        </a:prstGeom>
      </xdr:spPr>
    </xdr:pic>
    <xdr:clientData/>
  </xdr:twoCellAnchor>
  <xdr:twoCellAnchor editAs="oneCell">
    <xdr:from>
      <xdr:col>2</xdr:col>
      <xdr:colOff>690217</xdr:colOff>
      <xdr:row>46</xdr:row>
      <xdr:rowOff>72297</xdr:rowOff>
    </xdr:from>
    <xdr:to>
      <xdr:col>7</xdr:col>
      <xdr:colOff>1037672</xdr:colOff>
      <xdr:row>69</xdr:row>
      <xdr:rowOff>76030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97317F7-E277-4D6D-992D-9849354D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9130" y="8962297"/>
          <a:ext cx="7909891" cy="4471145"/>
        </a:xfrm>
        <a:prstGeom prst="rect">
          <a:avLst/>
        </a:prstGeom>
      </xdr:spPr>
    </xdr:pic>
    <xdr:clientData/>
  </xdr:twoCellAnchor>
  <xdr:twoCellAnchor editAs="oneCell">
    <xdr:from>
      <xdr:col>7</xdr:col>
      <xdr:colOff>1127154</xdr:colOff>
      <xdr:row>45</xdr:row>
      <xdr:rowOff>67397</xdr:rowOff>
    </xdr:from>
    <xdr:to>
      <xdr:col>13</xdr:col>
      <xdr:colOff>1109222</xdr:colOff>
      <xdr:row>67</xdr:row>
      <xdr:rowOff>86960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53B517E-6AC3-408C-B9F6-DC20B8C9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16830" y="9144162"/>
          <a:ext cx="7568451" cy="4479504"/>
        </a:xfrm>
        <a:prstGeom prst="rect">
          <a:avLst/>
        </a:prstGeom>
      </xdr:spPr>
    </xdr:pic>
    <xdr:clientData/>
  </xdr:twoCellAnchor>
  <xdr:twoCellAnchor editAs="oneCell">
    <xdr:from>
      <xdr:col>3</xdr:col>
      <xdr:colOff>207066</xdr:colOff>
      <xdr:row>72</xdr:row>
      <xdr:rowOff>55217</xdr:rowOff>
    </xdr:from>
    <xdr:to>
      <xdr:col>8</xdr:col>
      <xdr:colOff>117476</xdr:colOff>
      <xdr:row>93</xdr:row>
      <xdr:rowOff>121200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BF90509-D7A0-41D2-8920-5B048142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50436" y="13970000"/>
          <a:ext cx="7937500" cy="4124462"/>
        </a:xfrm>
        <a:prstGeom prst="rect">
          <a:avLst/>
        </a:prstGeom>
      </xdr:spPr>
    </xdr:pic>
    <xdr:clientData/>
  </xdr:twoCellAnchor>
  <xdr:twoCellAnchor editAs="oneCell">
    <xdr:from>
      <xdr:col>11</xdr:col>
      <xdr:colOff>1539745</xdr:colOff>
      <xdr:row>72</xdr:row>
      <xdr:rowOff>82826</xdr:rowOff>
    </xdr:from>
    <xdr:to>
      <xdr:col>17</xdr:col>
      <xdr:colOff>29157</xdr:colOff>
      <xdr:row>92</xdr:row>
      <xdr:rowOff>13804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2900148-AD83-4A31-B749-F83C2987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99093" y="13997609"/>
          <a:ext cx="7064949" cy="3796196"/>
        </a:xfrm>
        <a:prstGeom prst="rect">
          <a:avLst/>
        </a:prstGeom>
      </xdr:spPr>
    </xdr:pic>
    <xdr:clientData/>
  </xdr:twoCellAnchor>
  <xdr:twoCellAnchor editAs="oneCell">
    <xdr:from>
      <xdr:col>3</xdr:col>
      <xdr:colOff>303695</xdr:colOff>
      <xdr:row>94</xdr:row>
      <xdr:rowOff>55218</xdr:rowOff>
    </xdr:from>
    <xdr:to>
      <xdr:col>7</xdr:col>
      <xdr:colOff>856271</xdr:colOff>
      <xdr:row>114</xdr:row>
      <xdr:rowOff>179458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B1762F6-1907-42D9-9A8E-450BD1DA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47065" y="18221740"/>
          <a:ext cx="7433905" cy="3989456"/>
        </a:xfrm>
        <a:prstGeom prst="rect">
          <a:avLst/>
        </a:prstGeom>
      </xdr:spPr>
    </xdr:pic>
    <xdr:clientData/>
  </xdr:twoCellAnchor>
  <xdr:twoCellAnchor editAs="oneCell">
    <xdr:from>
      <xdr:col>11</xdr:col>
      <xdr:colOff>1851771</xdr:colOff>
      <xdr:row>93</xdr:row>
      <xdr:rowOff>179457</xdr:rowOff>
    </xdr:from>
    <xdr:to>
      <xdr:col>16</xdr:col>
      <xdr:colOff>575620</xdr:colOff>
      <xdr:row>114</xdr:row>
      <xdr:rowOff>9774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C202C4B-351D-4714-A309-C92420361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11119" y="18152718"/>
          <a:ext cx="6831143" cy="3888794"/>
        </a:xfrm>
        <a:prstGeom prst="rect">
          <a:avLst/>
        </a:prstGeom>
      </xdr:spPr>
    </xdr:pic>
    <xdr:clientData/>
  </xdr:twoCellAnchor>
  <xdr:twoCellAnchor editAs="oneCell">
    <xdr:from>
      <xdr:col>3</xdr:col>
      <xdr:colOff>445837</xdr:colOff>
      <xdr:row>141</xdr:row>
      <xdr:rowOff>41413</xdr:rowOff>
    </xdr:from>
    <xdr:to>
      <xdr:col>7</xdr:col>
      <xdr:colOff>627150</xdr:colOff>
      <xdr:row>161</xdr:row>
      <xdr:rowOff>129628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4FDB14E-9804-498C-8E0B-9D33ACBBD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89207" y="27291196"/>
          <a:ext cx="7062642" cy="3953432"/>
        </a:xfrm>
        <a:prstGeom prst="rect">
          <a:avLst/>
        </a:prstGeom>
      </xdr:spPr>
    </xdr:pic>
    <xdr:clientData/>
  </xdr:twoCellAnchor>
  <xdr:twoCellAnchor editAs="oneCell">
    <xdr:from>
      <xdr:col>8</xdr:col>
      <xdr:colOff>282071</xdr:colOff>
      <xdr:row>119</xdr:row>
      <xdr:rowOff>132034</xdr:rowOff>
    </xdr:from>
    <xdr:to>
      <xdr:col>13</xdr:col>
      <xdr:colOff>681458</xdr:colOff>
      <xdr:row>140</xdr:row>
      <xdr:rowOff>104425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35B0E74-0DDE-41DC-A80D-6DFAD790A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14747" y="24135034"/>
          <a:ext cx="6842770" cy="4208214"/>
        </a:xfrm>
        <a:prstGeom prst="rect">
          <a:avLst/>
        </a:prstGeom>
      </xdr:spPr>
    </xdr:pic>
    <xdr:clientData/>
  </xdr:twoCellAnchor>
  <xdr:twoCellAnchor editAs="oneCell">
    <xdr:from>
      <xdr:col>3</xdr:col>
      <xdr:colOff>110434</xdr:colOff>
      <xdr:row>120</xdr:row>
      <xdr:rowOff>75858</xdr:rowOff>
    </xdr:from>
    <xdr:to>
      <xdr:col>7</xdr:col>
      <xdr:colOff>781237</xdr:colOff>
      <xdr:row>141</xdr:row>
      <xdr:rowOff>82826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574DB60-6653-44F5-9866-BBDD47DA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53804" y="23267162"/>
          <a:ext cx="7552132" cy="4065447"/>
        </a:xfrm>
        <a:prstGeom prst="rect">
          <a:avLst/>
        </a:prstGeom>
      </xdr:spPr>
    </xdr:pic>
    <xdr:clientData/>
  </xdr:twoCellAnchor>
  <xdr:twoCellAnchor editAs="oneCell">
    <xdr:from>
      <xdr:col>19</xdr:col>
      <xdr:colOff>2374348</xdr:colOff>
      <xdr:row>119</xdr:row>
      <xdr:rowOff>165653</xdr:rowOff>
    </xdr:from>
    <xdr:to>
      <xdr:col>26</xdr:col>
      <xdr:colOff>371245</xdr:colOff>
      <xdr:row>142</xdr:row>
      <xdr:rowOff>147405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0E5DDD-042C-42FD-9383-4543EF02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249348" y="23163696"/>
          <a:ext cx="7783706" cy="4426752"/>
        </a:xfrm>
        <a:prstGeom prst="rect">
          <a:avLst/>
        </a:prstGeom>
      </xdr:spPr>
    </xdr:pic>
    <xdr:clientData/>
  </xdr:twoCellAnchor>
  <xdr:twoCellAnchor editAs="oneCell">
    <xdr:from>
      <xdr:col>8</xdr:col>
      <xdr:colOff>138844</xdr:colOff>
      <xdr:row>140</xdr:row>
      <xdr:rowOff>152658</xdr:rowOff>
    </xdr:from>
    <xdr:to>
      <xdr:col>13</xdr:col>
      <xdr:colOff>1136346</xdr:colOff>
      <xdr:row>162</xdr:row>
      <xdr:rowOff>135251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09D581D-F043-4043-A7CE-4853356D1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571520" y="28391482"/>
          <a:ext cx="7440885" cy="4420123"/>
        </a:xfrm>
        <a:prstGeom prst="rect">
          <a:avLst/>
        </a:prstGeom>
      </xdr:spPr>
    </xdr:pic>
    <xdr:clientData/>
  </xdr:twoCellAnchor>
  <xdr:twoCellAnchor editAs="oneCell">
    <xdr:from>
      <xdr:col>3</xdr:col>
      <xdr:colOff>504265</xdr:colOff>
      <xdr:row>167</xdr:row>
      <xdr:rowOff>179294</xdr:rowOff>
    </xdr:from>
    <xdr:to>
      <xdr:col>9</xdr:col>
      <xdr:colOff>1799521</xdr:colOff>
      <xdr:row>195</xdr:row>
      <xdr:rowOff>122005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577C4-5E88-455C-9DCF-44CEE9EB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24736" y="33864176"/>
          <a:ext cx="10114286" cy="559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168</xdr:row>
      <xdr:rowOff>22412</xdr:rowOff>
    </xdr:from>
    <xdr:to>
      <xdr:col>19</xdr:col>
      <xdr:colOff>2135675</xdr:colOff>
      <xdr:row>195</xdr:row>
      <xdr:rowOff>147782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52927-1BB5-451D-B0A6-381A3715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365942" y="33909000"/>
          <a:ext cx="10304762" cy="5571429"/>
        </a:xfrm>
        <a:prstGeom prst="rect">
          <a:avLst/>
        </a:prstGeom>
      </xdr:spPr>
    </xdr:pic>
    <xdr:clientData/>
  </xdr:twoCellAnchor>
  <xdr:twoCellAnchor editAs="oneCell">
    <xdr:from>
      <xdr:col>3</xdr:col>
      <xdr:colOff>526676</xdr:colOff>
      <xdr:row>196</xdr:row>
      <xdr:rowOff>168088</xdr:rowOff>
    </xdr:from>
    <xdr:to>
      <xdr:col>9</xdr:col>
      <xdr:colOff>1821932</xdr:colOff>
      <xdr:row>225</xdr:row>
      <xdr:rowOff>23380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293BDA-A963-4622-B8FF-E5C028A8D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47147" y="39702441"/>
          <a:ext cx="10114286" cy="57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197</xdr:row>
      <xdr:rowOff>0</xdr:rowOff>
    </xdr:from>
    <xdr:to>
      <xdr:col>19</xdr:col>
      <xdr:colOff>2345222</xdr:colOff>
      <xdr:row>224</xdr:row>
      <xdr:rowOff>125371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22C782-E356-4F11-B6B6-0C4DF7D7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556441" y="39736059"/>
          <a:ext cx="10323809" cy="557142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169</xdr:row>
      <xdr:rowOff>0</xdr:rowOff>
    </xdr:from>
    <xdr:to>
      <xdr:col>29</xdr:col>
      <xdr:colOff>618729</xdr:colOff>
      <xdr:row>197</xdr:row>
      <xdr:rowOff>1535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956421-E9B2-4AE7-ADC0-3E11DC7D9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560618" y="34088294"/>
          <a:ext cx="10390476" cy="5647619"/>
        </a:xfrm>
        <a:prstGeom prst="rect">
          <a:avLst/>
        </a:prstGeom>
      </xdr:spPr>
    </xdr:pic>
    <xdr:clientData/>
  </xdr:twoCellAnchor>
  <xdr:twoCellAnchor editAs="oneCell">
    <xdr:from>
      <xdr:col>20</xdr:col>
      <xdr:colOff>109077</xdr:colOff>
      <xdr:row>197</xdr:row>
      <xdr:rowOff>112057</xdr:rowOff>
    </xdr:from>
    <xdr:to>
      <xdr:col>28</xdr:col>
      <xdr:colOff>59240</xdr:colOff>
      <xdr:row>222</xdr:row>
      <xdr:rowOff>169079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DD197F-3AFE-4085-AD21-664D5BEE0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669695" y="39848116"/>
          <a:ext cx="8922218" cy="5099669"/>
        </a:xfrm>
        <a:prstGeom prst="rect">
          <a:avLst/>
        </a:prstGeom>
      </xdr:spPr>
    </xdr:pic>
    <xdr:clientData/>
  </xdr:twoCellAnchor>
  <xdr:twoCellAnchor editAs="oneCell">
    <xdr:from>
      <xdr:col>3</xdr:col>
      <xdr:colOff>907677</xdr:colOff>
      <xdr:row>225</xdr:row>
      <xdr:rowOff>-1</xdr:rowOff>
    </xdr:from>
    <xdr:to>
      <xdr:col>10</xdr:col>
      <xdr:colOff>357872</xdr:colOff>
      <xdr:row>244</xdr:row>
      <xdr:rowOff>139016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5BED623-0F6F-441E-BA16-403769B4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28148" y="45383823"/>
          <a:ext cx="10219048" cy="39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11206</xdr:colOff>
      <xdr:row>25</xdr:row>
      <xdr:rowOff>64999</xdr:rowOff>
    </xdr:from>
    <xdr:to>
      <xdr:col>21</xdr:col>
      <xdr:colOff>268941</xdr:colOff>
      <xdr:row>36</xdr:row>
      <xdr:rowOff>81318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63EF326-C5DA-4470-BF99-3DF0924A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433677" y="5107646"/>
          <a:ext cx="7788088" cy="2235084"/>
        </a:xfrm>
        <a:prstGeom prst="rect">
          <a:avLst/>
        </a:prstGeom>
      </xdr:spPr>
    </xdr:pic>
    <xdr:clientData/>
  </xdr:twoCellAnchor>
  <xdr:twoCellAnchor editAs="oneCell">
    <xdr:from>
      <xdr:col>13</xdr:col>
      <xdr:colOff>1266267</xdr:colOff>
      <xdr:row>35</xdr:row>
      <xdr:rowOff>134471</xdr:rowOff>
    </xdr:from>
    <xdr:to>
      <xdr:col>23</xdr:col>
      <xdr:colOff>1814756</xdr:colOff>
      <xdr:row>57</xdr:row>
      <xdr:rowOff>186301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EA9C740-556D-4035-A3C6-13B8AD05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142326" y="7194177"/>
          <a:ext cx="10766216" cy="4521296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198</xdr:row>
      <xdr:rowOff>0</xdr:rowOff>
    </xdr:from>
    <xdr:to>
      <xdr:col>37</xdr:col>
      <xdr:colOff>285647</xdr:colOff>
      <xdr:row>221</xdr:row>
      <xdr:rowOff>168088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2E5C8D7-883C-446F-8B47-DE0F0CA8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794265" y="39960176"/>
          <a:ext cx="8163381" cy="4807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74983</xdr:colOff>
      <xdr:row>24</xdr:row>
      <xdr:rowOff>0</xdr:rowOff>
    </xdr:from>
    <xdr:to>
      <xdr:col>58</xdr:col>
      <xdr:colOff>8927</xdr:colOff>
      <xdr:row>26</xdr:row>
      <xdr:rowOff>36876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59508" y="0"/>
          <a:ext cx="18831544" cy="332153"/>
        </a:xfrm>
        <a:prstGeom prst="rect">
          <a:avLst/>
        </a:prstGeom>
        <a:effectLst>
          <a:reflection blurRad="6350" stA="52000" endA="300" endPos="32000" dist="12700" dir="5400000" sy="-100000" algn="bl" rotWithShape="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74983</xdr:colOff>
      <xdr:row>1</xdr:row>
      <xdr:rowOff>0</xdr:rowOff>
    </xdr:from>
    <xdr:to>
      <xdr:col>50</xdr:col>
      <xdr:colOff>8928</xdr:colOff>
      <xdr:row>2</xdr:row>
      <xdr:rowOff>36877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66196-3AB2-4BCA-9417-1D13171BE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32263" y="5935980"/>
          <a:ext cx="19441144" cy="326437"/>
        </a:xfrm>
        <a:prstGeom prst="rect">
          <a:avLst/>
        </a:prstGeom>
        <a:effectLst>
          <a:reflection blurRad="6350" stA="52000" endA="300" endPos="32000" dist="12700" dir="5400000" sy="-100000" algn="bl" rotWithShape="0"/>
        </a:effectLst>
      </xdr:spPr>
    </xdr:pic>
    <xdr:clientData/>
  </xdr:twoCellAnchor>
  <xdr:twoCellAnchor>
    <xdr:from>
      <xdr:col>60</xdr:col>
      <xdr:colOff>97945</xdr:colOff>
      <xdr:row>1</xdr:row>
      <xdr:rowOff>0</xdr:rowOff>
    </xdr:from>
    <xdr:to>
      <xdr:col>72</xdr:col>
      <xdr:colOff>44818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0ADD84-0EAB-4E8F-A3D7-A065C2CA8A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" t="15556" r="4002" b="14074"/>
        <a:stretch/>
      </xdr:blipFill>
      <xdr:spPr bwMode="auto">
        <a:xfrm>
          <a:off x="49658425" y="5935980"/>
          <a:ext cx="7262073" cy="289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60</xdr:col>
      <xdr:colOff>51529</xdr:colOff>
      <xdr:row>3</xdr:row>
      <xdr:rowOff>0</xdr:rowOff>
    </xdr:from>
    <xdr:to>
      <xdr:col>72</xdr:col>
      <xdr:colOff>95096</xdr:colOff>
      <xdr:row>3</xdr:row>
      <xdr:rowOff>85668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A6879611-9459-4F79-8FC3-DAEB25299948}"/>
            </a:ext>
          </a:extLst>
        </xdr:cNvPr>
        <xdr:cNvSpPr txBox="1">
          <a:spLocks noChangeArrowheads="1"/>
        </xdr:cNvSpPr>
      </xdr:nvSpPr>
      <xdr:spPr bwMode="auto">
        <a:xfrm>
          <a:off x="49612009" y="6515100"/>
          <a:ext cx="7358767" cy="856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cs typeface="Calibri"/>
            </a:rPr>
            <a:t>D  e  v  e  l  o  p  m  e  n  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74983</xdr:colOff>
      <xdr:row>1</xdr:row>
      <xdr:rowOff>0</xdr:rowOff>
    </xdr:from>
    <xdr:to>
      <xdr:col>50</xdr:col>
      <xdr:colOff>8928</xdr:colOff>
      <xdr:row>2</xdr:row>
      <xdr:rowOff>36877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8D42C-7050-402C-A156-6B6CD283C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82283" y="295275"/>
          <a:ext cx="18831545" cy="332152"/>
        </a:xfrm>
        <a:prstGeom prst="rect">
          <a:avLst/>
        </a:prstGeom>
        <a:effectLst>
          <a:reflection blurRad="6350" stA="52000" endA="300" endPos="32000" dist="12700" dir="5400000" sy="-100000" algn="bl" rotWithShape="0"/>
        </a:effectLst>
      </xdr:spPr>
    </xdr:pic>
    <xdr:clientData/>
  </xdr:twoCellAnchor>
  <xdr:twoCellAnchor>
    <xdr:from>
      <xdr:col>60</xdr:col>
      <xdr:colOff>97945</xdr:colOff>
      <xdr:row>1</xdr:row>
      <xdr:rowOff>0</xdr:rowOff>
    </xdr:from>
    <xdr:to>
      <xdr:col>72</xdr:col>
      <xdr:colOff>44818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4DC70-779B-4FBD-BF0B-A188329409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6" t="15556" r="4002" b="14074"/>
        <a:stretch/>
      </xdr:blipFill>
      <xdr:spPr bwMode="auto">
        <a:xfrm>
          <a:off x="45208345" y="295275"/>
          <a:ext cx="7033473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60</xdr:col>
      <xdr:colOff>51529</xdr:colOff>
      <xdr:row>3</xdr:row>
      <xdr:rowOff>0</xdr:rowOff>
    </xdr:from>
    <xdr:to>
      <xdr:col>72</xdr:col>
      <xdr:colOff>95096</xdr:colOff>
      <xdr:row>3</xdr:row>
      <xdr:rowOff>85668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0F933-2C75-49FF-BE7A-3D0920BFB1C4}"/>
            </a:ext>
          </a:extLst>
        </xdr:cNvPr>
        <xdr:cNvSpPr txBox="1">
          <a:spLocks noChangeArrowheads="1"/>
        </xdr:cNvSpPr>
      </xdr:nvSpPr>
      <xdr:spPr bwMode="auto">
        <a:xfrm>
          <a:off x="45161929" y="885825"/>
          <a:ext cx="7130167" cy="856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cs typeface="Calibri"/>
            </a:rPr>
            <a:t>D  e  v  e  l  o  p  m  e  n  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74983</xdr:colOff>
      <xdr:row>0</xdr:row>
      <xdr:rowOff>0</xdr:rowOff>
    </xdr:from>
    <xdr:to>
      <xdr:col>50</xdr:col>
      <xdr:colOff>8927</xdr:colOff>
      <xdr:row>0</xdr:row>
      <xdr:rowOff>332787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48AA4-1EDA-476D-BEB6-1B04D572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32263" y="289560"/>
          <a:ext cx="19441144" cy="326437"/>
        </a:xfrm>
        <a:prstGeom prst="rect">
          <a:avLst/>
        </a:prstGeom>
        <a:effectLst>
          <a:reflection blurRad="6350" stA="52000" endA="300" endPos="32000" dist="12700" dir="5400000" sy="-100000" algn="bl" rotWithShape="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74983</xdr:colOff>
      <xdr:row>0</xdr:row>
      <xdr:rowOff>0</xdr:rowOff>
    </xdr:from>
    <xdr:to>
      <xdr:col>50</xdr:col>
      <xdr:colOff>8927</xdr:colOff>
      <xdr:row>0</xdr:row>
      <xdr:rowOff>336597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07F4C2-9584-46B6-B514-74E2C9D81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32263" y="0"/>
          <a:ext cx="19441144" cy="334057"/>
        </a:xfrm>
        <a:prstGeom prst="rect">
          <a:avLst/>
        </a:prstGeom>
        <a:effectLst>
          <a:reflection blurRad="6350" stA="52000" endA="300" endPos="32000" dist="127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My%20Documents/Closed%20Deals/Mack-Cali%20Portfolio/Investment%20Committee%20Book/$600k%20price%20adjustment%20VI/Section%203%20-%20Mack-Cali%20Portfolio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Users/Charles%20A%20Long/Dropbox/Development-L-T/West%20Oakland/1600%207th%20St/Equity%20Book%20and%20Financials/efscluster1/eusersdefpaths/greystar/live/41900914476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Documents%20and%20Settings/ahiggins/Local%20Settings/Temporary%20Internet%20Files/OLK16E/North%20Houston%20Medical%20Base%20Case%208-17-04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LAXUsers/koura/Analyst%20Bullpen/2%20-%20Seattle%20Deals/Seattle/South%20Lake%20Union/1%208%2012%20-%20Seattle%20282%20-%20AW_KAO_1.10.1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avenuelivingcommunities-my.sharepoint.com/Users/matthewticknor/Dropbox/Development-L-T/Oakland/585%2022nd%20St/Asset%20Management/G:/Real%20Estate/_New%20Deals/NYC%20-%2085%20West%20Broadway/Model/hotel%20model/kimpton%20hotel%20development%20model.xls?593FD494" TargetMode="External"/><Relationship Id="rId1" Type="http://schemas.openxmlformats.org/officeDocument/2006/relationships/externalLinkPath" Target="file:///\\593FD494\kimpton%20hotel%20development%20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Users/matthewticknor/Dropbox/Development-L-T/Oakland/585%2022nd%20St/Asset%20Management/G:/My%20Documents/Starwood/Models/FiMo%20Clean%203-1-04%20-%20May%20actfo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BCI-FS1/Users/FHC/ESTIMATE/Large%20Projects%20Estimates%202005/Carmichael%20Library%2025006/Bid%20Card%20Carmichael%20Library%201_27_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Documents%20and%20Settings/tpender.CHS/Local%20Settings/Temporary%20Internet%20Files/OLK12F/45760934376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Users/Matt/Dropbox/Greystar/Deals/Menlo%20Park/Equity%20Book/Menlo%20Park%20-%2065%25%20LTC%20-%2011-17-2013%20-%20broken%20link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users/SAMR/Invoices/Greystar%20Investments/GCP%20Invoice-JMIGRP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https://avenuelivingcommunities-my.sharepoint.com/beaconlakes/Shared%20Documents/Beacon%20Lakes/100%20Land%20and%20Feasibility/Project%20Budget/MULE%20and%20Partners%20model%20greystar%20Beacon%20Lakes%203-5-07%20v5/beacon%20MULE2007_Beta2.3/MULE2007_Beta2.3.xls?1FBFC1C9" TargetMode="External"/><Relationship Id="rId1" Type="http://schemas.openxmlformats.org/officeDocument/2006/relationships/externalLinkPath" Target="file:///\\1FBFC1C9\MULE2007_Beta2.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enuelivingcommunities-my.sharepoint.com/Documents%20and%20Settings/drbrown.AUSTIN/Local%20Settings/Temporary%20Internet%20Files/OLK1/4986416272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Dealsumm"/>
      <sheetName val="Assm"/>
      <sheetName val="#"/>
      <sheetName val="#debt"/>
      <sheetName val="A"/>
      <sheetName val="B"/>
      <sheetName val="C"/>
      <sheetName val="Profit"/>
      <sheetName val="FeeAnalysis"/>
      <sheetName val="Land Assm"/>
      <sheetName val="Land #"/>
      <sheetName val="Land #debt"/>
      <sheetName val="Mont Assm"/>
      <sheetName val="Mont #"/>
      <sheetName val="Mont #debt"/>
      <sheetName val="Metr Assm"/>
      <sheetName val="Metr #"/>
      <sheetName val="Metr #debt"/>
      <sheetName val="Rep Assm"/>
      <sheetName val="Rep #"/>
      <sheetName val="Rep #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erty taxes-NOI-Prop 13 2538"/>
      <sheetName val="585 22nd NOI reduction-Prop 13"/>
      <sheetName val="471 Fees and allowances"/>
      <sheetName val="Unit mix revised 2538 08-04-16"/>
      <sheetName val="Unit mix revised 585 01-24-17"/>
      <sheetName val="570 Fees and Allowances"/>
      <sheetName val="Operating Expense &amp; Income 2538"/>
      <sheetName val="Rental pro-forma-97 UNITS-2538"/>
      <sheetName val="OVERALL DRAW 2538"/>
      <sheetName val="Equity Investor Sheet 2538"/>
      <sheetName val="26th - PM Budget"/>
      <sheetName val="2538 ALL EXPENSES"/>
      <sheetName val="2538 CONTRACTS"/>
      <sheetName val="Monthly Draw 585&amp;2538"/>
      <sheetName val="Operating Expense &amp; Income-585"/>
      <sheetName val="Rental pro-forma 585"/>
      <sheetName val="OVERALL DRAW 585"/>
      <sheetName val="Equity Investor Sheet 585"/>
      <sheetName val="21st - PM Budget"/>
      <sheetName val="585 ALL EXPENSES"/>
      <sheetName val="585 CONTRACTS"/>
      <sheetName val="UBS Waterfall"/>
      <sheetName val="Return Summary"/>
      <sheetName val="Trended CF-Simple 2538"/>
      <sheetName val="Trended CF-Simple585"/>
      <sheetName val="2538 BID LOG 5-16-17"/>
      <sheetName val="2538 BID LOG 6-6-17"/>
      <sheetName val="COSTS BOTH"/>
      <sheetName val="CONSOLIDATED"/>
      <sheetName val="DESIGN DRAW 585"/>
      <sheetName val="DESIGN DRAW 2538"/>
      <sheetName val="10y Libor"/>
      <sheetName val="60 units-OLD"/>
      <sheetName val="TIC Structure"/>
      <sheetName val="10 Yr. - Cash Flow"/>
      <sheetName val="One Pager - Assumptions"/>
      <sheetName val="NOI Down"/>
      <sheetName val="Rent Roll"/>
      <sheetName val="Rent"/>
      <sheetName val="TI"/>
      <sheetName val="Supporting Info."/>
      <sheetName val="Lease-Up"/>
      <sheetName val="Client Specif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erty taxes-NOI-Prop 13 2538"/>
      <sheetName val="585 22nd NOI reduction-Prop 13"/>
      <sheetName val="471 Fees and allowances"/>
      <sheetName val="Unit mix revised 2538 08-04-16"/>
      <sheetName val="Unit mix revised 585 01-24-17"/>
      <sheetName val="570 Fees and Allowances"/>
      <sheetName val="Operating Expense &amp; Income 2538"/>
      <sheetName val="Rental pro-forma-97 UNITS-2538"/>
      <sheetName val="OVERALL DRAW 2538"/>
      <sheetName val="Equity Investor Sheet 2538"/>
      <sheetName val="26th - PM Budget"/>
      <sheetName val="2538 ALL EXPENSES"/>
      <sheetName val="2538 CONTRACTS"/>
      <sheetName val="Monthly Draw 585&amp;2538"/>
      <sheetName val="Operating Expense &amp; Income-585"/>
      <sheetName val="Rental pro-forma 585"/>
      <sheetName val="OVERALL DRAW 585"/>
      <sheetName val="Equity Investor Sheet 585"/>
      <sheetName val="21st - PM Budget"/>
      <sheetName val="585 ALL EXPENSES"/>
      <sheetName val="585 CONTRACTS"/>
      <sheetName val="UBS Waterfall"/>
      <sheetName val="Return Summary"/>
      <sheetName val="Trended CF-Simple 2538"/>
      <sheetName val="Trended CF-Simple585"/>
      <sheetName val="2538 BID LOG 5-16-17"/>
      <sheetName val="2538 BID LOG 6-6-17"/>
      <sheetName val="COSTS BOTH"/>
      <sheetName val="CONSOLIDATED"/>
      <sheetName val="DESIGN DRAW 585"/>
      <sheetName val="DESIGN DRAW 2538"/>
      <sheetName val="10y Libor"/>
      <sheetName val="60 units-OLD"/>
      <sheetName val="Updates"/>
      <sheetName val="Negotiations Page"/>
      <sheetName val="Land Flip"/>
      <sheetName val="Parking"/>
      <sheetName val="base case"/>
      <sheetName val="Spent to Date"/>
      <sheetName val="Table of Contents"/>
      <sheetName val="Lanes Analysis"/>
      <sheetName val="Investment Committee Cover"/>
      <sheetName val="Executive Summary"/>
      <sheetName val="Assumptions Tracker"/>
      <sheetName val="Development Images"/>
      <sheetName val="Lanes Summary"/>
      <sheetName val="1 - Location"/>
      <sheetName val="2 - Supply &amp; Demand"/>
      <sheetName val="3 - Basis"/>
      <sheetName val="4 - Rents"/>
      <sheetName val="5 - Rent Growth"/>
      <sheetName val="6 - Development"/>
      <sheetName val="7 - Construction"/>
      <sheetName val="8 - Transaction Timing"/>
      <sheetName val="9 - Partnership Structure"/>
      <sheetName val="10 - Returns"/>
      <sheetName val="NOT IN USE - Detailed Budget"/>
      <sheetName val="Muni Fees"/>
      <sheetName val="New Detailed Budget MT"/>
      <sheetName val="Input"/>
      <sheetName val="Equity Package"/>
      <sheetName val="Coinvest Analysis"/>
      <sheetName val="Pursuit Schedule"/>
      <sheetName val="Comparison IC"/>
      <sheetName val="Sales Analysis"/>
      <sheetName val="REIS 2Q12"/>
      <sheetName val="Untrended Cash Flow"/>
      <sheetName val="Trended Cash Flow"/>
      <sheetName val="Comparison Table"/>
      <sheetName val="REIS YE2011"/>
      <sheetName val="Mgmt Sign Off"/>
      <sheetName val="Capitalization"/>
      <sheetName val="Comparison"/>
      <sheetName val="3Q11 REIS Report"/>
      <sheetName val="Exhibits"/>
      <sheetName val="Develop. Integrated Lifecycle"/>
      <sheetName val="Integrated Checklist"/>
      <sheetName val="Conceptual Design Review"/>
      <sheetName val="Detailed Costs"/>
      <sheetName val="Deposit Dollars"/>
      <sheetName val="Pursuit Costs"/>
      <sheetName val="Tools"/>
      <sheetName val="Generic Cover"/>
      <sheetName val="Notes"/>
      <sheetName val="Protocol &amp; Policy"/>
      <sheetName val="Suggestions"/>
      <sheetName val="Calc Table"/>
      <sheetName val="Project Cost Summary"/>
      <sheetName val="Lease Up"/>
      <sheetName val="Lists"/>
      <sheetName val="Origin"/>
      <sheetName val="Construction Costs"/>
      <sheetName val="Expense Detail"/>
      <sheetName val="Data"/>
      <sheetName val="Operating Expense &amp; Income"/>
      <sheetName val="Property taxes-NOI- Prop 13"/>
      <sheetName val="Rental pro-forma-97 UNITS"/>
      <sheetName val="Schedule-Budgets-2538"/>
      <sheetName val="Monthly Draw 2538"/>
      <sheetName val="Trended CF-Simple"/>
      <sheetName val="Rent Roll table for Equity Book"/>
      <sheetName val="Cost Allocation to commer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-INPU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erty taxes-NOI-Prop 13 2538"/>
      <sheetName val="585 22nd NOI reduction-Prop 13"/>
      <sheetName val="471 Fees and allowances"/>
      <sheetName val="Unit mix revised 2538 08-04-16"/>
      <sheetName val="Unit mix revised 585 01-24-17"/>
      <sheetName val="570 Fees and Allowances"/>
      <sheetName val="Operating Expense &amp; Income 2538"/>
      <sheetName val="Rental pro-forma-97 UNITS-2538"/>
      <sheetName val="OVERALL DRAW 2538"/>
      <sheetName val="Equity Investor Sheet 2538"/>
      <sheetName val="26th - PM Budget"/>
      <sheetName val="2538 ALL EXPENSES"/>
      <sheetName val="2538 CONTRACTS"/>
      <sheetName val="Monthly Draw 585&amp;2538"/>
      <sheetName val="Operating Expense &amp; Income-585"/>
      <sheetName val="Rental pro-forma 585"/>
      <sheetName val="OVERALL DRAW 585"/>
      <sheetName val="Equity Investor Sheet 585"/>
      <sheetName val="21st - PM Budget"/>
      <sheetName val="585 ALL EXPENSES"/>
      <sheetName val="585 CONTRACTS"/>
      <sheetName val="UBS Waterfall"/>
      <sheetName val="Return Summary"/>
      <sheetName val="Trended CF-Simple 2538"/>
      <sheetName val="Trended CF-Simple585"/>
      <sheetName val="2538 BID LOG 5-16-17"/>
      <sheetName val="2538 BID LOG 6-6-17"/>
      <sheetName val="COSTS BOTH"/>
      <sheetName val="CONSOLIDATED"/>
      <sheetName val="DESIGN DRAW 585"/>
      <sheetName val="DESIGN DRAW 2538"/>
      <sheetName val="10y Libor"/>
      <sheetName val="60 units-OLD"/>
      <sheetName val="Frontsheet"/>
      <sheetName val="Bid Form"/>
      <sheetName val="1"/>
      <sheetName val="2"/>
      <sheetName val="3"/>
      <sheetName val="4"/>
      <sheetName val="5"/>
      <sheetName val="6"/>
      <sheetName val="8"/>
      <sheetName val="7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Trade Breakdown"/>
      <sheetName val="Notes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Report"/>
      <sheetName val="Message"/>
      <sheetName val="Operating Expense &amp; Income"/>
      <sheetName val="Property taxes-NOI- Prop 13"/>
      <sheetName val="Rental pro-forma-97 UNITS"/>
      <sheetName val="OVERALL DRAW 2538"/>
      <sheetName val="Schedule-Budgets-2538"/>
      <sheetName val="Equity Investor Sheet 2538"/>
      <sheetName val="Monthly Draw 2538"/>
      <sheetName val="Trended CF-Simple"/>
      <sheetName val="Rent Roll table for Equity Book"/>
      <sheetName val="Cost Allocation to commercial"/>
      <sheetName val="DESIGN DRAW 2538"/>
      <sheetName val="2538 CONTRACTS"/>
      <sheetName val="60 units-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Lanes Analysis"/>
      <sheetName val="Pursuit Schedule"/>
      <sheetName val="Investment Committee Cover"/>
      <sheetName val="Executive Summary"/>
      <sheetName val="Development Images"/>
      <sheetName val="Lanes Summary"/>
      <sheetName val="1 - Location"/>
      <sheetName val="2 - Supply &amp; Demand"/>
      <sheetName val="3 - Basis"/>
      <sheetName val="4 - Rents"/>
      <sheetName val="5 - Rent Growth"/>
      <sheetName val="6 - Development"/>
      <sheetName val="7 - Construction"/>
      <sheetName val="8 - Transaction Timing"/>
      <sheetName val="10 - Returns"/>
      <sheetName val="9 - Assumptions Tracker"/>
      <sheetName val="Sales Comps"/>
      <sheetName val="Rent Comps"/>
      <sheetName val="Equity Page"/>
      <sheetName val="Mgmt Sign Off"/>
      <sheetName val="Input"/>
      <sheetName val="Trended Cash Flow"/>
      <sheetName val="Coinvest Analysis"/>
      <sheetName val="Sale Value Analysis"/>
      <sheetName val="Pursuit Cost IRR"/>
      <sheetName val="Sheet1"/>
      <sheetName val="Detailed Budget"/>
      <sheetName val="Development Budget"/>
      <sheetName val="Muni Fees"/>
      <sheetName val="Elan San Fran"/>
      <sheetName val="Yardi"/>
      <sheetName val="REIS"/>
      <sheetName val="Project Budget"/>
      <sheetName val="Sensitivity Analysis"/>
      <sheetName val="IRR Bridge"/>
      <sheetName val="Calc Table"/>
      <sheetName val="Unit Matrix"/>
      <sheetName val="Concord Mix"/>
      <sheetName val="Pursuit_Expenses by cost code"/>
      <sheetName val="Tracker"/>
      <sheetName val="Construction"/>
      <sheetName val="Budget"/>
      <sheetName val="Unit Mix"/>
      <sheetName val="Inclusionary Housing"/>
      <sheetName val="Untrended Cash Flow"/>
      <sheetName val="Project Cost Summary"/>
      <sheetName val="Capitalization"/>
      <sheetName val="Lease Up"/>
      <sheetName val="Lis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 Your Invoice"/>
      <sheetName val="AutoOpen Stub Data"/>
      <sheetName val="Invoice"/>
      <sheetName val="Macros"/>
      <sheetName val="ATW"/>
      <sheetName val="Lock"/>
      <sheetName val="Intl Data Table"/>
      <sheetName val="TemplateInformation"/>
      <sheetName val="GCP Invoice-JMIG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l Input"/>
      <sheetName val="Annual CF Input"/>
      <sheetName val="Monthly CF Input"/>
      <sheetName val="Pools"/>
      <sheetName val="RE Valuation"/>
      <sheetName val="JV Financials"/>
      <sheetName val="GE Economics"/>
      <sheetName val="Metrics"/>
      <sheetName val="Sensitivities"/>
      <sheetName val="Deal Assumptions"/>
      <sheetName val="Property Assumptions"/>
      <sheetName val="Debt Worksheet"/>
      <sheetName val="Equity Worksheet"/>
      <sheetName val="FAS 141"/>
      <sheetName val="Overhead"/>
      <sheetName val="Data Tape"/>
      <sheetName val="Criteria"/>
      <sheetName val="UW vs Actu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98641627242"/>
      <sheetName val="Template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130C-358E-4208-A237-9487AC5422F8}">
  <sheetPr>
    <tabColor rgb="FF00B0F0"/>
  </sheetPr>
  <dimension ref="A1:AP166"/>
  <sheetViews>
    <sheetView zoomScale="55" zoomScaleNormal="55" workbookViewId="0">
      <selection activeCell="H16" sqref="H16"/>
    </sheetView>
  </sheetViews>
  <sheetFormatPr defaultColWidth="12.140625" defaultRowHeight="15.6"/>
  <cols>
    <col min="1" max="1" width="3.42578125" style="3" customWidth="1"/>
    <col min="2" max="2" width="2.7109375" style="3" customWidth="1"/>
    <col min="3" max="3" width="3.7109375" style="3" customWidth="1"/>
    <col min="4" max="4" width="42.5703125" style="3" bestFit="1" customWidth="1"/>
    <col min="5" max="5" width="14.5703125" style="3" bestFit="1" customWidth="1"/>
    <col min="6" max="6" width="12.140625" style="3"/>
    <col min="7" max="7" width="33.7109375" style="3" bestFit="1" customWidth="1"/>
    <col min="8" max="8" width="17.140625" style="3" bestFit="1" customWidth="1"/>
    <col min="9" max="9" width="12.140625" style="3"/>
    <col min="10" max="10" width="29.28515625" style="3" bestFit="1" customWidth="1"/>
    <col min="11" max="11" width="17.140625" style="3" bestFit="1" customWidth="1"/>
    <col min="12" max="12" width="3.42578125" style="3" customWidth="1"/>
    <col min="13" max="13" width="34.85546875" style="3" bestFit="1" customWidth="1"/>
    <col min="14" max="14" width="20.28515625" style="3" bestFit="1" customWidth="1"/>
    <col min="15" max="15" width="2.85546875" style="3" customWidth="1"/>
    <col min="16" max="16" width="35.7109375" style="3" bestFit="1" customWidth="1"/>
    <col min="17" max="17" width="11.5703125" style="3" bestFit="1" customWidth="1"/>
    <col min="18" max="18" width="6.140625" style="3" bestFit="1" customWidth="1"/>
    <col min="19" max="19" width="8.140625" style="3" customWidth="1"/>
    <col min="20" max="20" width="40.28515625" style="3" bestFit="1" customWidth="1"/>
    <col min="21" max="22" width="11" style="3" bestFit="1" customWidth="1"/>
    <col min="23" max="23" width="6.28515625" style="3" customWidth="1"/>
    <col min="24" max="24" width="28" style="3" bestFit="1" customWidth="1"/>
    <col min="25" max="25" width="13.85546875" style="3" bestFit="1" customWidth="1"/>
    <col min="26" max="26" width="36.42578125" style="3" bestFit="1" customWidth="1"/>
    <col min="27" max="27" width="17.140625" style="3" bestFit="1" customWidth="1"/>
    <col min="28" max="28" width="11.140625" style="3" customWidth="1"/>
    <col min="29" max="35" width="12.140625" style="3"/>
    <col min="36" max="36" width="33.42578125" style="3" bestFit="1" customWidth="1"/>
    <col min="37" max="16384" width="12.140625" style="3"/>
  </cols>
  <sheetData>
    <row r="1" spans="1:33">
      <c r="A1" s="195"/>
      <c r="AC1" s="90"/>
      <c r="AD1" s="90"/>
      <c r="AE1" s="90"/>
      <c r="AF1" s="90"/>
      <c r="AG1" s="90"/>
    </row>
    <row r="2" spans="1:33">
      <c r="A2" s="195"/>
      <c r="AC2" s="90"/>
      <c r="AD2" s="90"/>
      <c r="AE2" s="90"/>
      <c r="AF2" s="90"/>
      <c r="AG2" s="90"/>
    </row>
    <row r="3" spans="1:33">
      <c r="A3" s="195"/>
      <c r="AC3" s="90"/>
      <c r="AD3" s="90"/>
      <c r="AE3" s="90"/>
      <c r="AF3" s="90"/>
      <c r="AG3" s="90"/>
    </row>
    <row r="4" spans="1:33">
      <c r="AC4" s="93"/>
      <c r="AD4" s="90"/>
      <c r="AE4" s="90"/>
      <c r="AF4" s="90"/>
      <c r="AG4" s="90"/>
    </row>
    <row r="5" spans="1:33">
      <c r="D5" s="1" t="s"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 t="s">
        <v>1</v>
      </c>
      <c r="U5" s="2"/>
      <c r="V5" s="2"/>
      <c r="W5" s="2"/>
      <c r="X5" s="1" t="s">
        <v>2</v>
      </c>
      <c r="Y5" s="2"/>
      <c r="Z5" s="2"/>
      <c r="AA5" s="2"/>
      <c r="AC5" s="90"/>
      <c r="AD5" s="90"/>
      <c r="AE5" s="90"/>
      <c r="AF5" s="90"/>
      <c r="AG5" s="90"/>
    </row>
    <row r="6" spans="1:33">
      <c r="D6" s="392" t="s">
        <v>3</v>
      </c>
      <c r="E6" s="392"/>
      <c r="F6" s="2"/>
      <c r="G6" s="392" t="s">
        <v>4</v>
      </c>
      <c r="H6" s="392"/>
      <c r="I6" s="2"/>
      <c r="J6" s="392" t="s">
        <v>5</v>
      </c>
      <c r="K6" s="392"/>
      <c r="L6" s="4"/>
      <c r="M6" s="392" t="s">
        <v>6</v>
      </c>
      <c r="N6" s="392"/>
      <c r="O6" s="2"/>
      <c r="P6" s="392" t="s">
        <v>7</v>
      </c>
      <c r="Q6" s="392"/>
      <c r="R6" s="2"/>
      <c r="S6" s="2"/>
      <c r="T6" s="390" t="s">
        <v>8</v>
      </c>
      <c r="U6" s="390"/>
      <c r="V6" s="2"/>
      <c r="W6" s="258"/>
      <c r="X6" s="1" t="s">
        <v>9</v>
      </c>
      <c r="Y6" s="2"/>
      <c r="Z6" s="2"/>
      <c r="AA6" s="2"/>
      <c r="AC6" s="90"/>
      <c r="AD6" s="90"/>
      <c r="AE6" s="90"/>
      <c r="AF6" s="90"/>
      <c r="AG6" s="90"/>
    </row>
    <row r="7" spans="1:33">
      <c r="X7" s="391" t="s">
        <v>10</v>
      </c>
      <c r="Y7" s="391"/>
      <c r="Z7" s="391"/>
      <c r="AA7" s="391"/>
      <c r="AC7" s="90"/>
      <c r="AD7" s="90"/>
      <c r="AE7" s="90"/>
      <c r="AF7" s="90"/>
      <c r="AG7" s="90"/>
    </row>
    <row r="8" spans="1:33">
      <c r="D8" s="3" t="s">
        <v>11</v>
      </c>
      <c r="E8" s="5">
        <v>1.45</v>
      </c>
      <c r="G8" s="3" t="s">
        <v>12</v>
      </c>
      <c r="H8" s="6">
        <v>25</v>
      </c>
      <c r="J8" s="3" t="s">
        <v>13</v>
      </c>
      <c r="K8" s="6">
        <v>42</v>
      </c>
      <c r="M8" s="3" t="s">
        <v>14</v>
      </c>
      <c r="N8" s="6">
        <v>9.94</v>
      </c>
      <c r="P8" s="3" t="s">
        <v>15</v>
      </c>
      <c r="Q8" s="6">
        <v>118.92</v>
      </c>
      <c r="R8" s="6"/>
      <c r="T8" s="3" t="s">
        <v>16</v>
      </c>
      <c r="U8" s="6">
        <v>130</v>
      </c>
      <c r="V8" s="6">
        <v>150</v>
      </c>
      <c r="X8" s="3" t="s">
        <v>17</v>
      </c>
      <c r="Y8" s="274" t="s">
        <v>18</v>
      </c>
      <c r="Z8" s="274" t="s">
        <v>19</v>
      </c>
      <c r="AA8" s="274" t="s">
        <v>20</v>
      </c>
      <c r="AC8" s="90"/>
      <c r="AD8" s="90"/>
      <c r="AE8" s="90"/>
      <c r="AF8" s="90"/>
      <c r="AG8" s="90"/>
    </row>
    <row r="9" spans="1:33">
      <c r="D9" s="3" t="s">
        <v>21</v>
      </c>
      <c r="E9" s="6">
        <v>1200</v>
      </c>
      <c r="G9" s="3" t="s">
        <v>22</v>
      </c>
      <c r="H9" s="7" t="s">
        <v>23</v>
      </c>
      <c r="J9" s="3" t="s">
        <v>22</v>
      </c>
      <c r="K9" s="9">
        <v>5.8999999999999997E-2</v>
      </c>
      <c r="M9" s="3" t="s">
        <v>22</v>
      </c>
      <c r="N9" s="9" t="s">
        <v>24</v>
      </c>
      <c r="O9" s="259"/>
      <c r="P9" s="3" t="s">
        <v>22</v>
      </c>
      <c r="Q9" s="9" t="s">
        <v>25</v>
      </c>
      <c r="R9" s="9"/>
      <c r="T9" s="3" t="s">
        <v>26</v>
      </c>
      <c r="U9" s="6">
        <v>175</v>
      </c>
      <c r="V9" s="6">
        <v>200</v>
      </c>
      <c r="X9" s="3" t="s">
        <v>27</v>
      </c>
      <c r="Y9" s="275">
        <v>887690</v>
      </c>
      <c r="Z9" s="275">
        <v>133729</v>
      </c>
      <c r="AA9" s="276">
        <f>Y9/Z9</f>
        <v>6.6379768038346212</v>
      </c>
      <c r="AC9" s="90"/>
      <c r="AD9" s="90"/>
      <c r="AE9" s="90"/>
      <c r="AF9" s="90"/>
      <c r="AG9" s="90"/>
    </row>
    <row r="10" spans="1:33">
      <c r="D10" s="3" t="s">
        <v>28</v>
      </c>
      <c r="E10" s="6">
        <v>1250</v>
      </c>
      <c r="G10" s="3" t="s">
        <v>29</v>
      </c>
      <c r="H10" s="9">
        <v>4.3999999999999997E-2</v>
      </c>
      <c r="J10" s="3" t="s">
        <v>29</v>
      </c>
      <c r="K10" s="9">
        <v>5.8000000000000003E-2</v>
      </c>
      <c r="L10" s="263"/>
      <c r="M10" s="3" t="s">
        <v>29</v>
      </c>
      <c r="N10" s="9">
        <v>3.7999999999999999E-2</v>
      </c>
      <c r="O10" s="259"/>
      <c r="P10" s="3" t="s">
        <v>30</v>
      </c>
      <c r="Q10" s="9">
        <v>0.3</v>
      </c>
      <c r="R10" s="9"/>
      <c r="T10" s="3" t="s">
        <v>31</v>
      </c>
      <c r="U10" s="6">
        <v>200</v>
      </c>
      <c r="V10" s="6">
        <v>250</v>
      </c>
      <c r="X10" s="3" t="s">
        <v>32</v>
      </c>
      <c r="Y10" s="275">
        <v>250000</v>
      </c>
      <c r="Z10" s="275">
        <v>1058072</v>
      </c>
      <c r="AA10" s="276">
        <f>Y10/Z10</f>
        <v>0.2362788165644682</v>
      </c>
      <c r="AC10" s="90"/>
      <c r="AD10" s="90"/>
      <c r="AE10" s="90"/>
      <c r="AF10" s="90"/>
      <c r="AG10" s="90"/>
    </row>
    <row r="11" spans="1:33">
      <c r="D11" s="3" t="s">
        <v>33</v>
      </c>
      <c r="E11" s="6">
        <v>1390</v>
      </c>
      <c r="G11" s="3" t="s">
        <v>34</v>
      </c>
      <c r="H11" s="259" t="s">
        <v>35</v>
      </c>
      <c r="J11" s="3" t="s">
        <v>34</v>
      </c>
      <c r="K11" s="259" t="s">
        <v>36</v>
      </c>
      <c r="L11" s="267"/>
      <c r="M11" s="3" t="s">
        <v>34</v>
      </c>
      <c r="N11" s="259" t="s">
        <v>37</v>
      </c>
      <c r="O11" s="269"/>
      <c r="P11" s="3" t="s">
        <v>38</v>
      </c>
      <c r="Q11" s="259" t="s">
        <v>39</v>
      </c>
      <c r="R11" s="259"/>
      <c r="S11" s="268"/>
      <c r="T11" s="3" t="s">
        <v>40</v>
      </c>
      <c r="U11" s="6">
        <v>200</v>
      </c>
      <c r="V11" s="6"/>
      <c r="X11" s="3" t="s">
        <v>41</v>
      </c>
      <c r="Y11" s="275">
        <v>305000</v>
      </c>
      <c r="Z11" s="275">
        <v>319730</v>
      </c>
      <c r="AA11" s="276">
        <f>Y11/Z11</f>
        <v>0.95392987833484499</v>
      </c>
      <c r="AC11" s="90"/>
      <c r="AD11" s="90"/>
      <c r="AE11" s="90"/>
      <c r="AF11" s="90"/>
      <c r="AG11" s="90"/>
    </row>
    <row r="12" spans="1:33">
      <c r="D12" s="3" t="s">
        <v>42</v>
      </c>
      <c r="E12" s="6">
        <v>1650</v>
      </c>
      <c r="G12" s="3" t="s">
        <v>43</v>
      </c>
      <c r="H12" s="259" t="s">
        <v>44</v>
      </c>
      <c r="J12" s="3" t="s">
        <v>43</v>
      </c>
      <c r="K12" s="259" t="s">
        <v>45</v>
      </c>
      <c r="L12" s="263"/>
      <c r="M12" s="3" t="s">
        <v>43</v>
      </c>
      <c r="N12" s="259" t="s">
        <v>46</v>
      </c>
      <c r="O12" s="270"/>
      <c r="P12" s="3" t="s">
        <v>43</v>
      </c>
      <c r="Q12" s="259" t="s">
        <v>47</v>
      </c>
      <c r="R12" s="259"/>
      <c r="T12" s="3" t="s">
        <v>48</v>
      </c>
      <c r="U12" s="6">
        <v>100</v>
      </c>
      <c r="V12" s="6">
        <v>125</v>
      </c>
      <c r="X12" s="277" t="s">
        <v>49</v>
      </c>
      <c r="Y12" s="278">
        <v>535000</v>
      </c>
      <c r="Z12" s="278">
        <v>156380</v>
      </c>
      <c r="AA12" s="279">
        <f>Y12/Z12</f>
        <v>3.4211536002046299</v>
      </c>
      <c r="AC12" s="90"/>
      <c r="AD12" s="90"/>
      <c r="AE12" s="90"/>
      <c r="AF12" s="90"/>
      <c r="AG12" s="90"/>
    </row>
    <row r="13" spans="1:33">
      <c r="D13" s="3" t="s">
        <v>29</v>
      </c>
      <c r="E13" s="259" t="s">
        <v>50</v>
      </c>
      <c r="L13" s="267"/>
      <c r="M13" s="268"/>
      <c r="N13" s="268"/>
      <c r="O13" s="269"/>
      <c r="P13" s="269"/>
      <c r="Q13" s="269"/>
      <c r="R13" s="269"/>
      <c r="S13" s="268"/>
      <c r="T13" s="3" t="s">
        <v>51</v>
      </c>
      <c r="U13" s="6">
        <v>8</v>
      </c>
      <c r="V13" s="6">
        <v>10</v>
      </c>
      <c r="AA13" s="273">
        <f>AVERAGE(AA9:AA12)</f>
        <v>2.8123347747346412</v>
      </c>
      <c r="AC13" s="90"/>
      <c r="AD13" s="90"/>
      <c r="AE13" s="90"/>
      <c r="AF13" s="90"/>
      <c r="AG13" s="90"/>
    </row>
    <row r="14" spans="1:33">
      <c r="D14" s="3" t="s">
        <v>43</v>
      </c>
      <c r="E14" s="9" t="s">
        <v>52</v>
      </c>
      <c r="L14" s="267"/>
      <c r="M14" s="268"/>
      <c r="N14" s="268"/>
      <c r="O14" s="269"/>
      <c r="P14" s="269" t="s">
        <v>53</v>
      </c>
      <c r="Q14" s="269"/>
      <c r="R14" s="269"/>
      <c r="S14" s="268"/>
      <c r="T14" s="3" t="s">
        <v>54</v>
      </c>
      <c r="U14" s="6">
        <v>250</v>
      </c>
      <c r="V14" s="6">
        <v>300</v>
      </c>
      <c r="AC14" s="90"/>
      <c r="AD14" s="90"/>
      <c r="AE14" s="90"/>
      <c r="AF14" s="90"/>
      <c r="AG14" s="90"/>
    </row>
    <row r="15" spans="1:33">
      <c r="D15" s="3" t="s">
        <v>55</v>
      </c>
      <c r="E15" s="3" t="s">
        <v>56</v>
      </c>
      <c r="L15" s="263"/>
      <c r="O15" s="270"/>
      <c r="P15" s="270" t="s">
        <v>57</v>
      </c>
      <c r="Q15" s="270"/>
      <c r="R15" s="270"/>
      <c r="S15" s="268"/>
      <c r="T15" s="3" t="s">
        <v>58</v>
      </c>
      <c r="U15" s="6">
        <v>10</v>
      </c>
      <c r="V15" s="6">
        <v>20</v>
      </c>
      <c r="AA15" s="281"/>
      <c r="AC15" s="90"/>
      <c r="AD15" s="90"/>
      <c r="AE15" s="90"/>
      <c r="AF15" s="90"/>
      <c r="AG15" s="90"/>
    </row>
    <row r="16" spans="1:33">
      <c r="D16" s="3" t="s">
        <v>59</v>
      </c>
      <c r="E16" s="3" t="s">
        <v>60</v>
      </c>
      <c r="L16" s="267"/>
      <c r="M16" s="268"/>
      <c r="N16" s="268"/>
      <c r="O16" s="269"/>
      <c r="P16" s="269"/>
      <c r="Q16" s="269"/>
      <c r="R16" s="269"/>
      <c r="S16" s="268"/>
      <c r="T16" s="3" t="s">
        <v>61</v>
      </c>
      <c r="U16" s="6"/>
      <c r="V16" s="6">
        <v>10000</v>
      </c>
      <c r="AC16" s="90"/>
      <c r="AD16" s="90"/>
      <c r="AE16" s="90"/>
      <c r="AF16" s="90"/>
      <c r="AG16" s="90"/>
    </row>
    <row r="17" spans="4:41">
      <c r="L17" s="263"/>
      <c r="O17" s="270"/>
      <c r="P17" s="270"/>
      <c r="Q17" s="270"/>
      <c r="R17" s="270"/>
      <c r="S17" s="268"/>
      <c r="T17" s="3" t="s">
        <v>62</v>
      </c>
      <c r="U17" s="6"/>
      <c r="V17" s="6">
        <v>20000</v>
      </c>
      <c r="AC17" s="90"/>
      <c r="AD17" s="90"/>
      <c r="AE17" s="90"/>
      <c r="AF17" s="90"/>
      <c r="AG17" s="90"/>
    </row>
    <row r="18" spans="4:41">
      <c r="G18" s="264"/>
      <c r="H18" s="265"/>
      <c r="I18" s="266"/>
      <c r="L18" s="267"/>
      <c r="M18" s="268"/>
      <c r="N18" s="268"/>
      <c r="O18" s="269"/>
      <c r="P18" s="269"/>
      <c r="Q18" s="269"/>
      <c r="R18" s="269"/>
      <c r="S18" s="268"/>
      <c r="T18" s="3" t="s">
        <v>63</v>
      </c>
      <c r="U18" s="6"/>
      <c r="V18" s="6">
        <v>35000</v>
      </c>
      <c r="AC18" s="90"/>
      <c r="AD18" s="90"/>
      <c r="AE18" s="90"/>
      <c r="AF18" s="90"/>
      <c r="AG18" s="90"/>
    </row>
    <row r="19" spans="4:41">
      <c r="G19" s="264"/>
      <c r="H19" s="265"/>
      <c r="I19" s="266"/>
      <c r="L19" s="267"/>
      <c r="M19" s="268"/>
      <c r="N19" s="268"/>
      <c r="O19" s="269"/>
      <c r="P19" s="269"/>
      <c r="Q19" s="269"/>
      <c r="R19" s="269"/>
      <c r="S19" s="268"/>
      <c r="T19" s="3" t="s">
        <v>64</v>
      </c>
      <c r="U19" s="3">
        <v>200</v>
      </c>
      <c r="V19" s="3">
        <v>225</v>
      </c>
      <c r="AC19" s="90"/>
      <c r="AD19" s="90"/>
      <c r="AE19" s="90"/>
      <c r="AF19" s="90"/>
      <c r="AG19" s="90"/>
    </row>
    <row r="20" spans="4:41">
      <c r="G20" s="264"/>
      <c r="H20" s="265"/>
      <c r="I20" s="266"/>
      <c r="L20" s="263"/>
      <c r="O20" s="270"/>
      <c r="P20" s="270"/>
      <c r="Q20" s="270"/>
      <c r="R20" s="270"/>
      <c r="S20" s="268"/>
      <c r="T20" s="3" t="s">
        <v>65</v>
      </c>
      <c r="U20" s="3">
        <v>275</v>
      </c>
      <c r="V20" s="3">
        <v>350</v>
      </c>
      <c r="AC20" s="90"/>
      <c r="AD20" s="90"/>
      <c r="AE20" s="90"/>
      <c r="AF20" s="90"/>
      <c r="AG20" s="90"/>
    </row>
    <row r="21" spans="4:41">
      <c r="G21" s="264"/>
      <c r="H21" s="265"/>
      <c r="I21" s="266"/>
      <c r="L21" s="267"/>
      <c r="M21" s="268"/>
      <c r="N21" s="268"/>
      <c r="O21" s="269"/>
      <c r="P21" s="269"/>
      <c r="Q21" s="269"/>
      <c r="R21" s="269"/>
      <c r="S21" s="268"/>
      <c r="AC21" s="90"/>
      <c r="AD21" s="90"/>
      <c r="AE21" s="90"/>
      <c r="AF21" s="90"/>
      <c r="AG21" s="90"/>
    </row>
    <row r="22" spans="4:41">
      <c r="G22" s="264"/>
      <c r="H22" s="265"/>
      <c r="I22" s="266"/>
      <c r="L22" s="267"/>
      <c r="M22" s="268"/>
      <c r="N22" s="268"/>
      <c r="O22" s="269"/>
      <c r="P22" s="269"/>
      <c r="Q22" s="269"/>
      <c r="R22" s="269"/>
      <c r="S22" s="268"/>
      <c r="AC22" s="90"/>
      <c r="AD22" s="90"/>
      <c r="AE22" s="90"/>
      <c r="AF22" s="90"/>
      <c r="AG22" s="90"/>
    </row>
    <row r="23" spans="4:41">
      <c r="G23" s="8"/>
      <c r="H23" s="8"/>
      <c r="I23" s="10"/>
      <c r="AC23" s="90"/>
      <c r="AD23" s="90"/>
      <c r="AE23" s="90"/>
      <c r="AF23" s="90"/>
      <c r="AG23" s="90"/>
    </row>
    <row r="24" spans="4:41">
      <c r="D24" s="1" t="s">
        <v>66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2"/>
      <c r="U24" s="2"/>
      <c r="V24" s="2"/>
      <c r="W24" s="2"/>
      <c r="X24" s="2"/>
      <c r="Y24" s="2"/>
      <c r="Z24" s="2"/>
      <c r="AA24" s="2"/>
      <c r="AC24" s="283"/>
      <c r="AD24" s="90"/>
      <c r="AE24" s="90"/>
      <c r="AF24" s="90"/>
      <c r="AG24" s="90"/>
    </row>
    <row r="25" spans="4:41">
      <c r="D25" s="1" t="s">
        <v>67</v>
      </c>
      <c r="E25" s="2"/>
      <c r="F25" s="2"/>
      <c r="G25" s="2"/>
      <c r="H25" s="2"/>
      <c r="I25" s="2"/>
      <c r="J25" s="2"/>
      <c r="K25" s="2"/>
      <c r="L25" s="11" t="s">
        <v>68</v>
      </c>
      <c r="M25" s="2"/>
      <c r="N25" s="2"/>
      <c r="O25" s="2"/>
      <c r="P25" s="2"/>
      <c r="Q25" s="2"/>
      <c r="R25" s="2"/>
      <c r="S25" s="4"/>
      <c r="T25" s="2"/>
      <c r="U25" s="2"/>
      <c r="V25" s="2"/>
      <c r="W25" s="2"/>
      <c r="X25" s="2"/>
      <c r="Y25" s="2"/>
      <c r="Z25" s="2"/>
      <c r="AA25" s="2"/>
      <c r="AC25" s="90"/>
      <c r="AD25" s="90"/>
      <c r="AE25" s="90"/>
      <c r="AF25" s="90"/>
      <c r="AG25" s="90"/>
    </row>
    <row r="26" spans="4:41">
      <c r="F26" s="259"/>
      <c r="AC26" s="90"/>
      <c r="AD26" s="90"/>
      <c r="AE26" s="90"/>
      <c r="AF26" s="90"/>
      <c r="AG26" s="90"/>
    </row>
    <row r="27" spans="4:41">
      <c r="F27" s="5"/>
      <c r="AC27" s="90"/>
      <c r="AD27" s="90"/>
      <c r="AE27" s="90"/>
      <c r="AF27" s="90"/>
      <c r="AG27" s="90"/>
    </row>
    <row r="28" spans="4:41">
      <c r="P28" s="284"/>
      <c r="AC28" s="90"/>
      <c r="AD28" s="90"/>
      <c r="AE28" s="90"/>
      <c r="AF28" s="90"/>
      <c r="AG28" s="90"/>
    </row>
    <row r="29" spans="4:41">
      <c r="T29" s="259"/>
      <c r="V29" s="259"/>
      <c r="W29" s="259"/>
      <c r="X29" s="259"/>
      <c r="Y29" s="259"/>
      <c r="Z29" s="259"/>
      <c r="AA29" s="259"/>
      <c r="AC29" s="90"/>
      <c r="AD29" s="90"/>
      <c r="AE29" s="90"/>
      <c r="AF29" s="90"/>
      <c r="AG29" s="90"/>
    </row>
    <row r="30" spans="4:41" ht="15.95" customHeight="1">
      <c r="S30" s="260"/>
      <c r="T30" s="7"/>
      <c r="U30" s="12"/>
      <c r="V30" s="12"/>
      <c r="W30" s="12"/>
      <c r="X30" s="12"/>
      <c r="Y30" s="12"/>
      <c r="Z30" s="12"/>
      <c r="AA30" s="12"/>
      <c r="AC30" s="90"/>
      <c r="AD30" s="90"/>
      <c r="AE30" s="90"/>
      <c r="AF30" s="90"/>
      <c r="AG30" s="90"/>
      <c r="AJ30" s="372"/>
      <c r="AK30" s="372"/>
    </row>
    <row r="31" spans="4:41">
      <c r="S31" s="260"/>
      <c r="T31" s="7"/>
      <c r="U31" s="12"/>
      <c r="V31" s="12"/>
      <c r="W31" s="12"/>
      <c r="X31" s="12"/>
      <c r="Y31" s="12"/>
      <c r="Z31" s="12"/>
      <c r="AA31" s="12"/>
      <c r="AC31" s="90"/>
      <c r="AD31" s="90"/>
      <c r="AE31" s="90"/>
      <c r="AF31" s="90"/>
      <c r="AG31" s="90"/>
      <c r="AJ31" s="372"/>
      <c r="AK31" s="372"/>
    </row>
    <row r="32" spans="4:41">
      <c r="S32" s="260"/>
      <c r="T32" s="7"/>
      <c r="U32" s="12"/>
      <c r="V32" s="12"/>
      <c r="W32" s="12"/>
      <c r="X32" s="12"/>
      <c r="Y32" s="12"/>
      <c r="Z32" s="12"/>
      <c r="AA32" s="12"/>
      <c r="AC32" s="90"/>
      <c r="AD32" s="90"/>
      <c r="AE32" s="90"/>
      <c r="AF32" s="90"/>
      <c r="AG32" s="90"/>
      <c r="AJ32" s="372"/>
      <c r="AK32" s="373"/>
      <c r="AM32" s="373"/>
      <c r="AO32" s="373"/>
    </row>
    <row r="33" spans="19:42" ht="15.95" customHeight="1">
      <c r="S33" s="260"/>
      <c r="T33" s="7"/>
      <c r="U33" s="12"/>
      <c r="V33" s="12"/>
      <c r="W33" s="12"/>
      <c r="X33" s="12"/>
      <c r="Y33" s="12"/>
      <c r="Z33" s="12"/>
      <c r="AA33" s="12"/>
      <c r="AC33" s="90"/>
      <c r="AD33" s="90"/>
      <c r="AE33" s="90"/>
      <c r="AF33" s="90"/>
      <c r="AG33" s="90"/>
      <c r="AJ33" s="372"/>
    </row>
    <row r="34" spans="19:42">
      <c r="S34" s="260"/>
      <c r="T34" s="7"/>
      <c r="U34" s="12"/>
      <c r="V34" s="12"/>
      <c r="W34" s="12"/>
      <c r="X34" s="12"/>
      <c r="Y34" s="12"/>
      <c r="Z34" s="12"/>
      <c r="AA34" s="12"/>
      <c r="AJ34" s="374"/>
      <c r="AK34" s="372"/>
      <c r="AL34" s="372"/>
      <c r="AM34" s="372"/>
      <c r="AN34" s="372"/>
      <c r="AO34" s="372"/>
      <c r="AP34" s="372"/>
    </row>
    <row r="35" spans="19:42">
      <c r="S35" s="260"/>
      <c r="T35" s="7"/>
      <c r="U35" s="12"/>
      <c r="V35" s="12"/>
      <c r="W35" s="12"/>
      <c r="X35" s="12"/>
      <c r="Y35" s="12"/>
      <c r="Z35" s="12"/>
      <c r="AA35" s="12"/>
      <c r="AJ35" s="372"/>
      <c r="AK35" s="375"/>
      <c r="AL35" s="375"/>
      <c r="AM35" s="375"/>
      <c r="AN35" s="375"/>
      <c r="AO35" s="375"/>
      <c r="AP35" s="375"/>
    </row>
    <row r="36" spans="19:42">
      <c r="S36" s="260"/>
      <c r="T36" s="7"/>
      <c r="U36" s="12"/>
      <c r="V36" s="12"/>
      <c r="W36" s="12"/>
      <c r="X36" s="12"/>
      <c r="Y36" s="12"/>
      <c r="Z36" s="12"/>
      <c r="AA36" s="12"/>
      <c r="AJ36" s="374"/>
      <c r="AK36" s="372"/>
      <c r="AL36" s="372"/>
      <c r="AM36" s="372"/>
      <c r="AN36" s="372"/>
      <c r="AO36" s="372"/>
      <c r="AP36" s="372"/>
    </row>
    <row r="37" spans="19:42">
      <c r="S37" s="260"/>
      <c r="T37" s="7"/>
      <c r="U37" s="12"/>
      <c r="V37" s="12"/>
      <c r="W37" s="12"/>
      <c r="X37" s="12"/>
      <c r="Y37" s="12"/>
      <c r="Z37" s="12"/>
      <c r="AA37" s="12"/>
      <c r="AJ37" s="372"/>
      <c r="AK37" s="375"/>
      <c r="AL37" s="375"/>
      <c r="AM37" s="375"/>
      <c r="AN37" s="375"/>
      <c r="AO37" s="375"/>
      <c r="AP37" s="375"/>
    </row>
    <row r="38" spans="19:42" ht="15.95" customHeight="1">
      <c r="S38" s="260"/>
      <c r="T38" s="7"/>
      <c r="U38" s="12"/>
      <c r="V38" s="12"/>
      <c r="W38" s="12"/>
      <c r="X38" s="12"/>
      <c r="Y38" s="12"/>
      <c r="Z38" s="12"/>
      <c r="AA38" s="12"/>
      <c r="AJ38" s="372"/>
      <c r="AK38" s="375"/>
      <c r="AL38" s="375"/>
      <c r="AM38" s="375"/>
      <c r="AN38" s="375"/>
      <c r="AO38" s="375"/>
      <c r="AP38" s="375"/>
    </row>
    <row r="39" spans="19:42">
      <c r="S39" s="260"/>
      <c r="T39" s="7"/>
      <c r="U39" s="12"/>
      <c r="V39" s="12"/>
      <c r="W39" s="12"/>
      <c r="X39" s="12"/>
      <c r="Y39" s="12"/>
      <c r="Z39" s="12"/>
      <c r="AA39" s="12"/>
      <c r="AJ39" s="374"/>
      <c r="AK39" s="372"/>
      <c r="AL39" s="372"/>
      <c r="AM39" s="372"/>
      <c r="AN39" s="372"/>
      <c r="AO39" s="372"/>
      <c r="AP39" s="372"/>
    </row>
    <row r="40" spans="19:42">
      <c r="S40" s="260"/>
      <c r="T40" s="7"/>
      <c r="U40" s="12"/>
      <c r="V40" s="12"/>
      <c r="W40" s="12"/>
      <c r="X40" s="12"/>
      <c r="Y40" s="12"/>
      <c r="Z40" s="12" t="s">
        <v>69</v>
      </c>
      <c r="AA40" s="12" t="s">
        <v>70</v>
      </c>
      <c r="AJ40" s="372"/>
      <c r="AK40" s="375"/>
      <c r="AL40" s="375"/>
      <c r="AM40" s="375"/>
      <c r="AN40" s="375"/>
      <c r="AO40" s="375"/>
      <c r="AP40" s="375"/>
    </row>
    <row r="41" spans="19:42">
      <c r="S41" s="260"/>
      <c r="T41" s="7"/>
      <c r="U41" s="12"/>
      <c r="V41" s="12"/>
      <c r="W41" s="12"/>
      <c r="X41" s="12"/>
      <c r="Y41" s="12"/>
      <c r="Z41" s="287">
        <v>461347</v>
      </c>
      <c r="AA41" s="285">
        <v>2068</v>
      </c>
      <c r="AJ41" s="374"/>
      <c r="AK41" s="372"/>
      <c r="AL41" s="372"/>
      <c r="AM41" s="372"/>
      <c r="AN41" s="372"/>
      <c r="AO41" s="372"/>
      <c r="AP41" s="372"/>
    </row>
    <row r="42" spans="19:42">
      <c r="S42" s="260"/>
      <c r="T42" s="7"/>
      <c r="U42" s="12"/>
      <c r="V42" s="12"/>
      <c r="W42" s="12"/>
      <c r="X42" s="12"/>
      <c r="Y42" s="12"/>
      <c r="Z42" s="287">
        <v>207850</v>
      </c>
      <c r="AA42" s="285">
        <v>786</v>
      </c>
      <c r="AJ42" s="372"/>
      <c r="AK42" s="375"/>
      <c r="AL42" s="375"/>
      <c r="AM42" s="375"/>
      <c r="AN42" s="375"/>
      <c r="AO42" s="375"/>
      <c r="AP42" s="375"/>
    </row>
    <row r="43" spans="19:42">
      <c r="S43" s="260"/>
      <c r="T43" s="7"/>
      <c r="U43" s="12"/>
      <c r="V43" s="12"/>
      <c r="W43" s="12"/>
      <c r="X43" s="12"/>
      <c r="Y43" s="12"/>
      <c r="Z43" s="287">
        <v>88250</v>
      </c>
      <c r="AA43" s="285">
        <v>221</v>
      </c>
      <c r="AJ43" s="372"/>
      <c r="AK43" s="375"/>
      <c r="AL43" s="375"/>
      <c r="AM43" s="375"/>
      <c r="AN43" s="375"/>
      <c r="AO43" s="375"/>
      <c r="AP43" s="375"/>
    </row>
    <row r="44" spans="19:42">
      <c r="Z44" s="288">
        <v>88000</v>
      </c>
      <c r="AA44" s="286">
        <v>301</v>
      </c>
      <c r="AJ44" s="374"/>
      <c r="AK44" s="372"/>
      <c r="AL44" s="372"/>
      <c r="AM44" s="372"/>
      <c r="AN44" s="372"/>
      <c r="AO44" s="372"/>
      <c r="AP44" s="372"/>
    </row>
    <row r="45" spans="19:42">
      <c r="Z45" s="288">
        <v>57370</v>
      </c>
      <c r="AA45" s="286">
        <v>384</v>
      </c>
      <c r="AJ45" s="372"/>
      <c r="AK45" s="375"/>
      <c r="AL45" s="375"/>
      <c r="AM45" s="375"/>
      <c r="AN45" s="375"/>
      <c r="AO45" s="375"/>
      <c r="AP45" s="375"/>
    </row>
    <row r="46" spans="19:42">
      <c r="Z46" s="288">
        <v>54000</v>
      </c>
      <c r="AA46" s="286">
        <v>132</v>
      </c>
      <c r="AJ46" s="372"/>
      <c r="AK46" s="375"/>
      <c r="AL46" s="375"/>
      <c r="AM46" s="375"/>
      <c r="AN46" s="375"/>
      <c r="AO46" s="375"/>
      <c r="AP46" s="375"/>
    </row>
    <row r="47" spans="19:42">
      <c r="Z47" s="288">
        <v>53210</v>
      </c>
      <c r="AA47" s="286">
        <v>347</v>
      </c>
    </row>
    <row r="48" spans="19:42">
      <c r="Z48" s="288">
        <v>36275</v>
      </c>
      <c r="AA48" s="286">
        <v>115</v>
      </c>
    </row>
    <row r="49" spans="26:28">
      <c r="Z49" s="288">
        <v>28100</v>
      </c>
      <c r="AA49" s="286">
        <v>160</v>
      </c>
    </row>
    <row r="50" spans="26:28">
      <c r="Z50" s="288">
        <v>10248</v>
      </c>
      <c r="AA50" s="286">
        <v>98</v>
      </c>
    </row>
    <row r="51" spans="26:28">
      <c r="Z51" s="288">
        <v>3854</v>
      </c>
      <c r="AA51" s="286">
        <v>12</v>
      </c>
    </row>
    <row r="52" spans="26:28" ht="16.149999999999999" thickBot="1">
      <c r="Z52" s="289">
        <v>1305</v>
      </c>
      <c r="AA52" s="290">
        <v>16</v>
      </c>
    </row>
    <row r="53" spans="26:28" ht="16.149999999999999" thickTop="1">
      <c r="Z53" s="288">
        <f>SUM(Z41:Z52)</f>
        <v>1089809</v>
      </c>
      <c r="AA53" s="286">
        <f>SUM(AA41:AA52)</f>
        <v>4640</v>
      </c>
      <c r="AB53" s="3">
        <f>Z53/AA53</f>
        <v>234.87262931034482</v>
      </c>
    </row>
    <row r="55" spans="26:28">
      <c r="Z55" s="3" t="s">
        <v>71</v>
      </c>
    </row>
    <row r="71" spans="4:30">
      <c r="D71" s="1" t="s">
        <v>72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4:30">
      <c r="D72" s="1" t="s">
        <v>68</v>
      </c>
      <c r="E72" s="2"/>
      <c r="F72" s="2"/>
      <c r="G72" s="2"/>
      <c r="H72" s="2"/>
      <c r="I72" s="2"/>
      <c r="J72" s="2"/>
      <c r="K72" s="2"/>
      <c r="L72" s="1" t="s">
        <v>68</v>
      </c>
      <c r="M72" s="1"/>
      <c r="N72" s="2"/>
      <c r="O72" s="2"/>
      <c r="P72" s="2"/>
      <c r="Q72" s="2"/>
      <c r="R72" s="2"/>
      <c r="S72" s="258"/>
      <c r="T72" s="1"/>
      <c r="U72" s="1" t="s">
        <v>68</v>
      </c>
      <c r="V72" s="258"/>
      <c r="W72" s="2"/>
      <c r="X72" s="2"/>
      <c r="Y72" s="2"/>
      <c r="Z72" s="2"/>
      <c r="AA72" s="2"/>
      <c r="AB72" s="2"/>
      <c r="AC72" s="2"/>
      <c r="AD72" s="2"/>
    </row>
    <row r="118" spans="4:30">
      <c r="D118" s="1" t="s">
        <v>73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4:30">
      <c r="D119" s="1" t="s">
        <v>68</v>
      </c>
      <c r="E119" s="2"/>
      <c r="F119" s="2"/>
      <c r="G119" s="2"/>
      <c r="H119" s="2"/>
      <c r="I119" s="2"/>
      <c r="J119" s="2"/>
      <c r="K119" s="2"/>
      <c r="L119" s="1" t="s">
        <v>68</v>
      </c>
      <c r="M119" s="1"/>
      <c r="N119" s="2"/>
      <c r="O119" s="2"/>
      <c r="P119" s="2"/>
      <c r="Q119" s="2"/>
      <c r="R119" s="2"/>
      <c r="S119" s="258"/>
      <c r="T119" s="1"/>
      <c r="U119" s="1" t="s">
        <v>68</v>
      </c>
      <c r="V119" s="2"/>
      <c r="W119" s="2"/>
      <c r="X119" s="2"/>
      <c r="Y119" s="2"/>
      <c r="Z119" s="2"/>
      <c r="AA119" s="2"/>
      <c r="AB119" s="2"/>
      <c r="AC119" s="2"/>
      <c r="AD119" s="2"/>
    </row>
    <row r="165" spans="4:30">
      <c r="D165" s="1" t="s">
        <v>74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4:30">
      <c r="D166" s="1" t="s">
        <v>68</v>
      </c>
      <c r="E166" s="2"/>
      <c r="F166" s="2"/>
      <c r="G166" s="2"/>
      <c r="H166" s="2"/>
      <c r="I166" s="2"/>
      <c r="J166" s="2"/>
      <c r="K166" s="2"/>
      <c r="L166" s="1" t="s">
        <v>68</v>
      </c>
      <c r="M166" s="1"/>
      <c r="N166" s="2"/>
      <c r="O166" s="2"/>
      <c r="P166" s="2"/>
      <c r="Q166" s="2"/>
      <c r="R166" s="2"/>
      <c r="S166" s="258"/>
      <c r="T166" s="1"/>
      <c r="U166" s="1" t="s">
        <v>68</v>
      </c>
      <c r="V166" s="2"/>
      <c r="W166" s="2"/>
      <c r="X166" s="2"/>
      <c r="Y166" s="2"/>
      <c r="Z166" s="2"/>
      <c r="AA166" s="2"/>
      <c r="AB166" s="2"/>
      <c r="AC166" s="2"/>
      <c r="AD166" s="2"/>
    </row>
  </sheetData>
  <mergeCells count="7">
    <mergeCell ref="T6:U6"/>
    <mergeCell ref="X7:AA7"/>
    <mergeCell ref="D6:E6"/>
    <mergeCell ref="G6:H6"/>
    <mergeCell ref="J6:K6"/>
    <mergeCell ref="M6:N6"/>
    <mergeCell ref="P6:Q6"/>
  </mergeCells>
  <pageMargins left="0.7" right="0.7" top="0.75" bottom="0.75" header="0.3" footer="0.3"/>
  <pageSetup paperSize="3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AF4B-AA19-44C8-886E-4B0199F2ACBD}">
  <sheetPr>
    <tabColor rgb="FF0070C0"/>
  </sheetPr>
  <dimension ref="A1:AZ598"/>
  <sheetViews>
    <sheetView topLeftCell="A13" workbookViewId="0">
      <selection activeCell="E36" sqref="E36"/>
    </sheetView>
  </sheetViews>
  <sheetFormatPr defaultColWidth="8.85546875" defaultRowHeight="13.15"/>
  <cols>
    <col min="1" max="1" width="45.5703125" style="18" customWidth="1"/>
    <col min="2" max="2" width="14.85546875" style="18" customWidth="1"/>
    <col min="3" max="3" width="18.140625" style="18" customWidth="1"/>
    <col min="4" max="4" width="15.5703125" style="18" customWidth="1"/>
    <col min="5" max="5" width="17.140625" style="18" bestFit="1" customWidth="1"/>
    <col min="6" max="6" width="17.85546875" style="18" customWidth="1"/>
    <col min="7" max="7" width="14.42578125" style="162" customWidth="1"/>
    <col min="8" max="8" width="19" style="18" customWidth="1"/>
    <col min="9" max="9" width="15.5703125" style="18" customWidth="1"/>
    <col min="10" max="10" width="16.42578125" style="18" customWidth="1"/>
    <col min="11" max="11" width="17.5703125" style="18" customWidth="1"/>
    <col min="12" max="12" width="14.140625" style="18" customWidth="1"/>
    <col min="13" max="13" width="14.42578125" style="18" customWidth="1"/>
    <col min="14" max="14" width="15.42578125" style="18" customWidth="1"/>
    <col min="15" max="15" width="16.140625" style="18" customWidth="1"/>
    <col min="16" max="16" width="15.42578125" style="18" customWidth="1"/>
    <col min="17" max="17" width="13.85546875" style="18" customWidth="1"/>
    <col min="18" max="19" width="14" style="18" customWidth="1"/>
    <col min="20" max="20" width="12.85546875" style="18" customWidth="1"/>
    <col min="21" max="21" width="14.42578125" style="18" customWidth="1"/>
    <col min="22" max="22" width="16" style="18" customWidth="1"/>
    <col min="23" max="23" width="17" style="18" customWidth="1"/>
    <col min="24" max="24" width="16.42578125" style="18" customWidth="1"/>
    <col min="25" max="25" width="13.42578125" style="18" hidden="1" customWidth="1"/>
    <col min="26" max="26" width="15" style="18" hidden="1" customWidth="1"/>
    <col min="27" max="27" width="13.42578125" style="18" hidden="1" customWidth="1"/>
    <col min="28" max="28" width="16.85546875" style="163" hidden="1" customWidth="1"/>
    <col min="29" max="29" width="15" style="18" hidden="1" customWidth="1"/>
    <col min="30" max="30" width="16.140625" style="18" hidden="1" customWidth="1"/>
    <col min="31" max="31" width="13.42578125" style="163" hidden="1" customWidth="1"/>
    <col min="32" max="32" width="17.140625" style="18" hidden="1" customWidth="1"/>
    <col min="33" max="33" width="14.42578125" style="18" hidden="1" customWidth="1"/>
    <col min="34" max="34" width="17.5703125" style="18" hidden="1" customWidth="1"/>
    <col min="35" max="35" width="14.42578125" style="164" hidden="1" customWidth="1"/>
    <col min="36" max="36" width="14.85546875" style="18" hidden="1" customWidth="1"/>
    <col min="37" max="37" width="15" style="18" hidden="1" customWidth="1"/>
    <col min="38" max="38" width="15.140625" style="18" hidden="1" customWidth="1"/>
    <col min="39" max="39" width="13.5703125" style="18" hidden="1" customWidth="1"/>
    <col min="40" max="40" width="13.85546875" style="18" hidden="1" customWidth="1"/>
    <col min="41" max="41" width="15.5703125" style="18" hidden="1" customWidth="1"/>
    <col min="42" max="43" width="15" style="18" hidden="1" customWidth="1"/>
    <col min="44" max="47" width="15.140625" style="18" hidden="1" customWidth="1"/>
    <col min="48" max="50" width="17" style="18" customWidth="1"/>
    <col min="51" max="51" width="15" style="18" customWidth="1"/>
    <col min="52" max="52" width="17.85546875" style="18" bestFit="1" customWidth="1"/>
    <col min="53" max="53" width="9.5703125" style="18" bestFit="1" customWidth="1"/>
    <col min="54" max="54" width="11.85546875" style="18" bestFit="1" customWidth="1"/>
    <col min="55" max="56" width="9.5703125" style="18" bestFit="1" customWidth="1"/>
    <col min="57" max="16384" width="8.85546875" style="18"/>
  </cols>
  <sheetData>
    <row r="1" spans="1:52" ht="15" thickBot="1">
      <c r="A1" s="465" t="str">
        <f>'Development Program'!B29</f>
        <v>South Mixed Use Site</v>
      </c>
      <c r="B1" s="232" t="s">
        <v>348</v>
      </c>
      <c r="C1" s="218" t="str">
        <f>'Development Program'!C27</f>
        <v>Pre-Development</v>
      </c>
      <c r="D1" s="218" t="str">
        <f>'Development Program'!D27</f>
        <v>Demolition</v>
      </c>
      <c r="E1" s="218" t="str">
        <f>'Development Program'!E27</f>
        <v>Construction</v>
      </c>
      <c r="F1" s="219" t="str">
        <f>'Development Program'!F27</f>
        <v>Close-out</v>
      </c>
      <c r="G1" s="18"/>
      <c r="AB1"/>
      <c r="AE1" s="18"/>
      <c r="AI1" s="18"/>
      <c r="AY1"/>
      <c r="AZ1"/>
    </row>
    <row r="2" spans="1:52" ht="15" thickBot="1">
      <c r="A2" s="466"/>
      <c r="B2" s="770" t="s">
        <v>349</v>
      </c>
      <c r="C2" s="771" t="str">
        <f>'Development Program'!C29</f>
        <v>01/1/24 to 12/31/24</v>
      </c>
      <c r="D2" s="771" t="str">
        <f>'Development Program'!D29</f>
        <v>1/1/25 to 6/30/25</v>
      </c>
      <c r="E2" s="771" t="str">
        <f>'Development Program'!E29</f>
        <v>7/1/25 to 6/30/27</v>
      </c>
      <c r="F2" s="773" t="str">
        <f>'Development Program'!F29</f>
        <v>7/1/27 to 12/31/27</v>
      </c>
      <c r="G2" s="18"/>
      <c r="H2" s="253" t="s">
        <v>350</v>
      </c>
      <c r="I2" s="253" t="s">
        <v>401</v>
      </c>
      <c r="J2" s="253" t="s">
        <v>402</v>
      </c>
      <c r="K2" s="253" t="s">
        <v>351</v>
      </c>
      <c r="V2" s="253" t="s">
        <v>403</v>
      </c>
      <c r="W2" s="253" t="s">
        <v>404</v>
      </c>
      <c r="X2" s="253" t="s">
        <v>405</v>
      </c>
      <c r="AB2"/>
      <c r="AE2" s="18"/>
      <c r="AI2" s="18"/>
      <c r="AV2" s="470" t="s">
        <v>355</v>
      </c>
      <c r="AW2" s="470"/>
      <c r="AX2" s="470"/>
      <c r="AY2"/>
      <c r="AZ2"/>
    </row>
    <row r="3" spans="1:52" s="222" customFormat="1" ht="15" thickBot="1">
      <c r="A3" s="489"/>
      <c r="B3" s="223" t="s">
        <v>202</v>
      </c>
      <c r="C3" s="220">
        <v>45292</v>
      </c>
      <c r="D3" s="221">
        <f>EOMONTH(C3,2)</f>
        <v>45382</v>
      </c>
      <c r="E3" s="221">
        <f t="shared" ref="E3:G3" si="0">EOMONTH(D3,2)</f>
        <v>45443</v>
      </c>
      <c r="F3" s="221">
        <f t="shared" si="0"/>
        <v>45504</v>
      </c>
      <c r="G3" s="221">
        <f t="shared" si="0"/>
        <v>45565</v>
      </c>
      <c r="H3" s="774">
        <f t="shared" ref="H3:AK3" si="1">EOMONTH(G3,3)</f>
        <v>45657</v>
      </c>
      <c r="I3" s="774">
        <f>EOMONTH(H3,2)</f>
        <v>45716</v>
      </c>
      <c r="J3" s="774">
        <f t="shared" si="1"/>
        <v>45808</v>
      </c>
      <c r="K3" s="774">
        <f>EOMONTH(J3,2)</f>
        <v>45869</v>
      </c>
      <c r="L3" s="774">
        <f t="shared" ref="L3:U3" si="2">EOMONTH(K3,2)</f>
        <v>45930</v>
      </c>
      <c r="M3" s="774">
        <f t="shared" si="2"/>
        <v>45991</v>
      </c>
      <c r="N3" s="774">
        <f t="shared" si="2"/>
        <v>46053</v>
      </c>
      <c r="O3" s="774">
        <f t="shared" si="2"/>
        <v>46112</v>
      </c>
      <c r="P3" s="774">
        <f t="shared" si="2"/>
        <v>46173</v>
      </c>
      <c r="Q3" s="774">
        <f t="shared" si="2"/>
        <v>46234</v>
      </c>
      <c r="R3" s="774">
        <f t="shared" si="2"/>
        <v>46295</v>
      </c>
      <c r="S3" s="774">
        <f t="shared" si="2"/>
        <v>46356</v>
      </c>
      <c r="T3" s="774">
        <f t="shared" si="2"/>
        <v>46418</v>
      </c>
      <c r="U3" s="774">
        <f t="shared" si="2"/>
        <v>46477</v>
      </c>
      <c r="V3" s="774">
        <f t="shared" si="1"/>
        <v>46568</v>
      </c>
      <c r="W3" s="774">
        <f t="shared" si="1"/>
        <v>46660</v>
      </c>
      <c r="X3" s="774">
        <f t="shared" si="1"/>
        <v>46752</v>
      </c>
      <c r="Y3" s="774">
        <f t="shared" si="1"/>
        <v>46843</v>
      </c>
      <c r="Z3" s="774">
        <f t="shared" si="1"/>
        <v>46934</v>
      </c>
      <c r="AA3" s="774">
        <f t="shared" si="1"/>
        <v>47026</v>
      </c>
      <c r="AB3" s="774">
        <f t="shared" si="1"/>
        <v>47118</v>
      </c>
      <c r="AC3" s="774">
        <f t="shared" si="1"/>
        <v>47208</v>
      </c>
      <c r="AD3" s="774">
        <f t="shared" si="1"/>
        <v>47299</v>
      </c>
      <c r="AE3" s="774">
        <f t="shared" si="1"/>
        <v>47391</v>
      </c>
      <c r="AF3" s="774">
        <f t="shared" si="1"/>
        <v>47483</v>
      </c>
      <c r="AG3" s="774">
        <f t="shared" si="1"/>
        <v>47573</v>
      </c>
      <c r="AH3" s="774">
        <f t="shared" si="1"/>
        <v>47664</v>
      </c>
      <c r="AI3" s="774">
        <f t="shared" si="1"/>
        <v>47756</v>
      </c>
      <c r="AJ3" s="774">
        <f t="shared" si="1"/>
        <v>47848</v>
      </c>
      <c r="AK3" s="774">
        <f t="shared" si="1"/>
        <v>47938</v>
      </c>
      <c r="AL3" s="774">
        <f>EOMONTH(AK3,3)</f>
        <v>48029</v>
      </c>
      <c r="AM3" s="774">
        <f t="shared" ref="AM3:AU3" si="3">EOMONTH(AL3,3)</f>
        <v>48121</v>
      </c>
      <c r="AN3" s="774">
        <f t="shared" si="3"/>
        <v>48213</v>
      </c>
      <c r="AO3" s="774">
        <f t="shared" si="3"/>
        <v>48304</v>
      </c>
      <c r="AP3" s="774">
        <f t="shared" si="3"/>
        <v>48395</v>
      </c>
      <c r="AQ3" s="774">
        <f t="shared" si="3"/>
        <v>48487</v>
      </c>
      <c r="AR3" s="774">
        <f t="shared" si="3"/>
        <v>48579</v>
      </c>
      <c r="AS3" s="774">
        <f>EOMONTH(AR3,3)</f>
        <v>48669</v>
      </c>
      <c r="AT3" s="774">
        <f t="shared" si="3"/>
        <v>48760</v>
      </c>
      <c r="AU3" s="774">
        <f t="shared" si="3"/>
        <v>48852</v>
      </c>
      <c r="AV3" s="774" t="s">
        <v>356</v>
      </c>
      <c r="AW3" s="876" t="s">
        <v>357</v>
      </c>
      <c r="AX3" s="876"/>
      <c r="AY3"/>
      <c r="AZ3"/>
    </row>
    <row r="4" spans="1:52" ht="15" thickBot="1">
      <c r="A4" s="224" t="s">
        <v>358</v>
      </c>
      <c r="B4" s="225">
        <v>1</v>
      </c>
      <c r="C4" s="249">
        <v>0</v>
      </c>
      <c r="D4" s="249">
        <v>0</v>
      </c>
      <c r="E4" s="249">
        <v>0</v>
      </c>
      <c r="F4" s="249">
        <f t="shared" ref="F4:J4" si="4">E4</f>
        <v>0</v>
      </c>
      <c r="G4" s="248">
        <f t="shared" si="4"/>
        <v>0</v>
      </c>
      <c r="H4" s="248">
        <v>0</v>
      </c>
      <c r="I4" s="248">
        <f t="shared" si="4"/>
        <v>0</v>
      </c>
      <c r="J4" s="248">
        <f t="shared" si="4"/>
        <v>0</v>
      </c>
      <c r="K4" s="248">
        <v>0.05</v>
      </c>
      <c r="L4" s="248">
        <v>0.05</v>
      </c>
      <c r="M4" s="248">
        <v>0.05</v>
      </c>
      <c r="N4" s="248">
        <v>0.05</v>
      </c>
      <c r="O4" s="248">
        <v>0.12</v>
      </c>
      <c r="P4" s="248">
        <v>0.12</v>
      </c>
      <c r="Q4" s="248">
        <v>0.12</v>
      </c>
      <c r="R4" s="248">
        <v>0.12</v>
      </c>
      <c r="S4" s="248">
        <v>0.08</v>
      </c>
      <c r="T4" s="248">
        <v>0.08</v>
      </c>
      <c r="U4" s="248">
        <v>0.08</v>
      </c>
      <c r="V4" s="248">
        <v>0.08</v>
      </c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877"/>
      <c r="AT4" s="877"/>
      <c r="AU4" s="877"/>
      <c r="AV4" s="780">
        <f>SUM(C4:AR4)</f>
        <v>0.99999999999999989</v>
      </c>
      <c r="AW4" s="781"/>
      <c r="AX4" s="782" t="s">
        <v>359</v>
      </c>
      <c r="AY4"/>
      <c r="AZ4"/>
    </row>
    <row r="5" spans="1:52" ht="14.45">
      <c r="A5" s="188" t="str">
        <f>'C Financial'!A45</f>
        <v>Hard Costs for Construction</v>
      </c>
      <c r="B5" s="878">
        <f>'C Financial'!C45</f>
        <v>85005500</v>
      </c>
      <c r="C5" s="784">
        <f t="shared" ref="C5:X5" si="5">$B$5*C4</f>
        <v>0</v>
      </c>
      <c r="D5" s="784">
        <f t="shared" si="5"/>
        <v>0</v>
      </c>
      <c r="E5" s="784">
        <f t="shared" si="5"/>
        <v>0</v>
      </c>
      <c r="F5" s="784">
        <f t="shared" si="5"/>
        <v>0</v>
      </c>
      <c r="G5" s="784">
        <f t="shared" si="5"/>
        <v>0</v>
      </c>
      <c r="H5" s="784">
        <f t="shared" si="5"/>
        <v>0</v>
      </c>
      <c r="I5" s="784">
        <f t="shared" si="5"/>
        <v>0</v>
      </c>
      <c r="J5" s="784">
        <f t="shared" si="5"/>
        <v>0</v>
      </c>
      <c r="K5" s="784">
        <f t="shared" si="5"/>
        <v>4250275</v>
      </c>
      <c r="L5" s="784">
        <f t="shared" si="5"/>
        <v>4250275</v>
      </c>
      <c r="M5" s="784">
        <f t="shared" si="5"/>
        <v>4250275</v>
      </c>
      <c r="N5" s="784">
        <f t="shared" si="5"/>
        <v>4250275</v>
      </c>
      <c r="O5" s="784">
        <f t="shared" si="5"/>
        <v>10200660</v>
      </c>
      <c r="P5" s="784">
        <f t="shared" si="5"/>
        <v>10200660</v>
      </c>
      <c r="Q5" s="784">
        <f t="shared" si="5"/>
        <v>10200660</v>
      </c>
      <c r="R5" s="784">
        <f t="shared" si="5"/>
        <v>10200660</v>
      </c>
      <c r="S5" s="784">
        <f t="shared" si="5"/>
        <v>6800440</v>
      </c>
      <c r="T5" s="784">
        <f t="shared" si="5"/>
        <v>6800440</v>
      </c>
      <c r="U5" s="784">
        <f t="shared" si="5"/>
        <v>6800440</v>
      </c>
      <c r="V5" s="784">
        <f t="shared" si="5"/>
        <v>6800440</v>
      </c>
      <c r="W5" s="784">
        <f t="shared" si="5"/>
        <v>0</v>
      </c>
      <c r="X5" s="784">
        <f t="shared" si="5"/>
        <v>0</v>
      </c>
      <c r="Y5" s="784"/>
      <c r="Z5" s="784"/>
      <c r="AA5" s="784"/>
      <c r="AB5" s="784"/>
      <c r="AC5" s="784"/>
      <c r="AD5" s="784"/>
      <c r="AE5" s="784"/>
      <c r="AF5" s="784"/>
      <c r="AG5" s="784"/>
      <c r="AH5" s="784"/>
      <c r="AI5" s="784"/>
      <c r="AJ5" s="784"/>
      <c r="AK5" s="784"/>
      <c r="AL5" s="784"/>
      <c r="AM5" s="784"/>
      <c r="AN5" s="784"/>
      <c r="AO5" s="784"/>
      <c r="AP5" s="784"/>
      <c r="AQ5" s="784"/>
      <c r="AR5" s="784"/>
      <c r="AS5" s="784"/>
      <c r="AT5" s="784"/>
      <c r="AU5" s="784"/>
      <c r="AV5" s="785">
        <f>SUM(C5:AU5)</f>
        <v>85005500</v>
      </c>
      <c r="AW5" s="785">
        <f t="shared" ref="AW5:AW25" si="6">B5</f>
        <v>85005500</v>
      </c>
      <c r="AX5" s="785">
        <f>AW5-AV5</f>
        <v>0</v>
      </c>
      <c r="AY5"/>
      <c r="AZ5"/>
    </row>
    <row r="6" spans="1:52" ht="14.45">
      <c r="A6" s="174" t="str">
        <f>'C Financial'!A46</f>
        <v>Parking stalls</v>
      </c>
      <c r="B6" s="819">
        <f>'C Financial'!C46</f>
        <v>10587500</v>
      </c>
      <c r="C6" s="784">
        <f>$B$6*C4</f>
        <v>0</v>
      </c>
      <c r="D6" s="784">
        <f t="shared" ref="D6:X6" si="7">$B$6*D4</f>
        <v>0</v>
      </c>
      <c r="E6" s="784">
        <f t="shared" si="7"/>
        <v>0</v>
      </c>
      <c r="F6" s="784">
        <f t="shared" si="7"/>
        <v>0</v>
      </c>
      <c r="G6" s="784">
        <f t="shared" si="7"/>
        <v>0</v>
      </c>
      <c r="H6" s="784">
        <f t="shared" si="7"/>
        <v>0</v>
      </c>
      <c r="I6" s="784">
        <f t="shared" si="7"/>
        <v>0</v>
      </c>
      <c r="J6" s="784">
        <f t="shared" si="7"/>
        <v>0</v>
      </c>
      <c r="K6" s="784">
        <f t="shared" si="7"/>
        <v>529375</v>
      </c>
      <c r="L6" s="784">
        <f t="shared" si="7"/>
        <v>529375</v>
      </c>
      <c r="M6" s="784">
        <f t="shared" si="7"/>
        <v>529375</v>
      </c>
      <c r="N6" s="784">
        <f t="shared" si="7"/>
        <v>529375</v>
      </c>
      <c r="O6" s="784">
        <f t="shared" si="7"/>
        <v>1270500</v>
      </c>
      <c r="P6" s="784">
        <f t="shared" si="7"/>
        <v>1270500</v>
      </c>
      <c r="Q6" s="784">
        <f t="shared" si="7"/>
        <v>1270500</v>
      </c>
      <c r="R6" s="784">
        <f t="shared" si="7"/>
        <v>1270500</v>
      </c>
      <c r="S6" s="784">
        <f t="shared" si="7"/>
        <v>847000</v>
      </c>
      <c r="T6" s="784">
        <f t="shared" si="7"/>
        <v>847000</v>
      </c>
      <c r="U6" s="784">
        <f t="shared" si="7"/>
        <v>847000</v>
      </c>
      <c r="V6" s="784">
        <f t="shared" si="7"/>
        <v>847000</v>
      </c>
      <c r="W6" s="784">
        <f t="shared" si="7"/>
        <v>0</v>
      </c>
      <c r="X6" s="784">
        <f t="shared" si="7"/>
        <v>0</v>
      </c>
      <c r="Y6" s="784"/>
      <c r="Z6" s="784"/>
      <c r="AA6" s="784"/>
      <c r="AB6" s="784"/>
      <c r="AC6" s="784"/>
      <c r="AD6" s="784"/>
      <c r="AE6" s="784"/>
      <c r="AF6" s="784"/>
      <c r="AG6" s="784"/>
      <c r="AH6" s="784"/>
      <c r="AI6" s="784"/>
      <c r="AJ6" s="784"/>
      <c r="AK6" s="784"/>
      <c r="AL6" s="784"/>
      <c r="AM6" s="784"/>
      <c r="AN6" s="784"/>
      <c r="AO6" s="784"/>
      <c r="AP6" s="784"/>
      <c r="AQ6" s="784"/>
      <c r="AR6" s="784"/>
      <c r="AS6" s="784"/>
      <c r="AT6" s="784"/>
      <c r="AU6" s="784"/>
      <c r="AV6" s="785">
        <f t="shared" ref="AV6:AV25" si="8">SUM(C6:AU6)</f>
        <v>10587500</v>
      </c>
      <c r="AW6" s="785">
        <f t="shared" si="6"/>
        <v>10587500</v>
      </c>
      <c r="AX6" s="785">
        <f t="shared" ref="AX6:AX25" si="9">AW6-AV6</f>
        <v>0</v>
      </c>
      <c r="AY6"/>
      <c r="AZ6"/>
    </row>
    <row r="7" spans="1:52" ht="14.45">
      <c r="A7" s="174" t="str">
        <f>'C Financial'!A47</f>
        <v>Hard Cost Contingency</v>
      </c>
      <c r="B7" s="819">
        <f>'C Financial'!C47</f>
        <v>5950385.0000000009</v>
      </c>
      <c r="C7" s="784">
        <f t="shared" ref="C7:Q7" si="10">$B7*C$4</f>
        <v>0</v>
      </c>
      <c r="D7" s="784">
        <f t="shared" si="10"/>
        <v>0</v>
      </c>
      <c r="E7" s="784">
        <f t="shared" si="10"/>
        <v>0</v>
      </c>
      <c r="F7" s="784">
        <f t="shared" si="10"/>
        <v>0</v>
      </c>
      <c r="G7" s="784">
        <f t="shared" si="10"/>
        <v>0</v>
      </c>
      <c r="H7" s="784">
        <f t="shared" si="10"/>
        <v>0</v>
      </c>
      <c r="I7" s="784">
        <f t="shared" si="10"/>
        <v>0</v>
      </c>
      <c r="J7" s="784">
        <f t="shared" si="10"/>
        <v>0</v>
      </c>
      <c r="K7" s="784">
        <f t="shared" si="10"/>
        <v>297519.25000000006</v>
      </c>
      <c r="L7" s="784">
        <f t="shared" si="10"/>
        <v>297519.25000000006</v>
      </c>
      <c r="M7" s="784">
        <f t="shared" si="10"/>
        <v>297519.25000000006</v>
      </c>
      <c r="N7" s="784">
        <f t="shared" si="10"/>
        <v>297519.25000000006</v>
      </c>
      <c r="O7" s="784">
        <f t="shared" si="10"/>
        <v>714046.20000000007</v>
      </c>
      <c r="P7" s="784">
        <f t="shared" si="10"/>
        <v>714046.20000000007</v>
      </c>
      <c r="Q7" s="784">
        <f t="shared" si="10"/>
        <v>714046.20000000007</v>
      </c>
      <c r="R7" s="784">
        <f>$B7*R$4</f>
        <v>714046.20000000007</v>
      </c>
      <c r="S7" s="784">
        <f t="shared" ref="S7:X7" si="11">$B7*S$4</f>
        <v>476030.8000000001</v>
      </c>
      <c r="T7" s="784">
        <f t="shared" si="11"/>
        <v>476030.8000000001</v>
      </c>
      <c r="U7" s="784">
        <f t="shared" si="11"/>
        <v>476030.8000000001</v>
      </c>
      <c r="V7" s="784">
        <f t="shared" si="11"/>
        <v>476030.8000000001</v>
      </c>
      <c r="W7" s="784">
        <f t="shared" si="11"/>
        <v>0</v>
      </c>
      <c r="X7" s="784">
        <f t="shared" si="11"/>
        <v>0</v>
      </c>
      <c r="Y7" s="784"/>
      <c r="Z7" s="784"/>
      <c r="AA7" s="784"/>
      <c r="AB7" s="784"/>
      <c r="AC7" s="784"/>
      <c r="AD7" s="784"/>
      <c r="AE7" s="784"/>
      <c r="AF7" s="784"/>
      <c r="AG7" s="784"/>
      <c r="AH7" s="784"/>
      <c r="AI7" s="784"/>
      <c r="AJ7" s="784"/>
      <c r="AK7" s="784"/>
      <c r="AL7" s="784"/>
      <c r="AM7" s="784"/>
      <c r="AN7" s="784"/>
      <c r="AO7" s="784"/>
      <c r="AP7" s="784"/>
      <c r="AQ7" s="784"/>
      <c r="AR7" s="784"/>
      <c r="AS7" s="784"/>
      <c r="AT7" s="784"/>
      <c r="AU7" s="784"/>
      <c r="AV7" s="785">
        <f t="shared" si="8"/>
        <v>5950385</v>
      </c>
      <c r="AW7" s="785">
        <f t="shared" si="6"/>
        <v>5950385.0000000009</v>
      </c>
      <c r="AX7" s="785">
        <f t="shared" si="9"/>
        <v>0</v>
      </c>
      <c r="AY7"/>
      <c r="AZ7"/>
    </row>
    <row r="8" spans="1:52" ht="14.45">
      <c r="A8" s="174" t="str">
        <f>'C Financial'!A48</f>
        <v>Demolition</v>
      </c>
      <c r="B8" s="819">
        <f>'C Financial'!C48</f>
        <v>500000</v>
      </c>
      <c r="C8" s="784"/>
      <c r="D8" s="784"/>
      <c r="E8" s="784"/>
      <c r="F8" s="784"/>
      <c r="G8" s="784"/>
      <c r="H8" s="784"/>
      <c r="I8" s="784"/>
      <c r="J8" s="784">
        <f>B8</f>
        <v>500000</v>
      </c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4"/>
      <c r="Z8" s="784"/>
      <c r="AA8" s="784"/>
      <c r="AB8" s="784"/>
      <c r="AC8" s="784"/>
      <c r="AD8" s="784"/>
      <c r="AE8" s="784"/>
      <c r="AF8" s="784"/>
      <c r="AG8" s="784"/>
      <c r="AH8" s="784"/>
      <c r="AI8" s="784"/>
      <c r="AJ8" s="784"/>
      <c r="AK8" s="784"/>
      <c r="AL8" s="784"/>
      <c r="AM8" s="784"/>
      <c r="AN8" s="784"/>
      <c r="AO8" s="784"/>
      <c r="AP8" s="784"/>
      <c r="AQ8" s="784"/>
      <c r="AR8" s="784"/>
      <c r="AS8" s="784"/>
      <c r="AT8" s="784"/>
      <c r="AU8" s="784"/>
      <c r="AV8" s="785">
        <f t="shared" si="8"/>
        <v>500000</v>
      </c>
      <c r="AW8" s="785">
        <f t="shared" si="6"/>
        <v>500000</v>
      </c>
      <c r="AX8" s="785">
        <f t="shared" si="9"/>
        <v>0</v>
      </c>
      <c r="AY8"/>
      <c r="AZ8"/>
    </row>
    <row r="9" spans="1:52" ht="14.45">
      <c r="A9" s="174" t="str">
        <f>'C Financial'!A49</f>
        <v>LAND</v>
      </c>
      <c r="B9" s="819">
        <f>'C Financial'!C49</f>
        <v>1488439.4288674078</v>
      </c>
      <c r="C9" s="250"/>
      <c r="D9" s="786"/>
      <c r="E9" s="788">
        <v>400000</v>
      </c>
      <c r="F9" s="784"/>
      <c r="G9" s="787"/>
      <c r="H9" s="788">
        <f>$B9-$E9</f>
        <v>1088439.4288674078</v>
      </c>
      <c r="I9" s="787"/>
      <c r="J9" s="788"/>
      <c r="K9" s="784"/>
      <c r="L9" s="786"/>
      <c r="M9" s="789"/>
      <c r="N9" s="786"/>
      <c r="O9" s="786"/>
      <c r="P9" s="786"/>
      <c r="Q9" s="786"/>
      <c r="R9" s="786"/>
      <c r="S9" s="786"/>
      <c r="T9" s="78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879"/>
      <c r="AF9" s="879"/>
      <c r="AG9" s="879"/>
      <c r="AH9" s="879"/>
      <c r="AI9" s="879"/>
      <c r="AJ9" s="879"/>
      <c r="AK9" s="879"/>
      <c r="AL9" s="879"/>
      <c r="AM9" s="879"/>
      <c r="AN9" s="879"/>
      <c r="AO9" s="879"/>
      <c r="AP9" s="879"/>
      <c r="AQ9" s="879"/>
      <c r="AR9" s="879"/>
      <c r="AS9" s="879"/>
      <c r="AT9" s="879"/>
      <c r="AU9" s="879"/>
      <c r="AV9" s="785">
        <f t="shared" si="8"/>
        <v>1488439.4288674078</v>
      </c>
      <c r="AW9" s="785">
        <f t="shared" si="6"/>
        <v>1488439.4288674078</v>
      </c>
      <c r="AX9" s="785">
        <f t="shared" si="9"/>
        <v>0</v>
      </c>
      <c r="AY9"/>
      <c r="AZ9"/>
    </row>
    <row r="10" spans="1:52" ht="14.45">
      <c r="A10" s="174" t="str">
        <f>'C Financial'!A50</f>
        <v>Municipal Fees and Allowances</v>
      </c>
      <c r="B10" s="819">
        <f>'C Financial'!C50</f>
        <v>57360</v>
      </c>
      <c r="C10" s="789"/>
      <c r="D10" s="786"/>
      <c r="E10" s="784"/>
      <c r="F10" s="784"/>
      <c r="G10" s="784"/>
      <c r="H10" s="784"/>
      <c r="I10" s="784"/>
      <c r="J10" s="784"/>
      <c r="K10" s="784">
        <f>B10</f>
        <v>57360</v>
      </c>
      <c r="L10" s="786"/>
      <c r="M10" s="786"/>
      <c r="N10" s="786"/>
      <c r="O10" s="786"/>
      <c r="P10" s="786"/>
      <c r="Q10" s="786"/>
      <c r="R10" s="786"/>
      <c r="S10" s="787"/>
      <c r="T10" s="784"/>
      <c r="U10" s="786"/>
      <c r="V10" s="786"/>
      <c r="W10" s="786"/>
      <c r="X10" s="786"/>
      <c r="Y10" s="786"/>
      <c r="Z10" s="786"/>
      <c r="AA10" s="786"/>
      <c r="AB10" s="786"/>
      <c r="AC10" s="786"/>
      <c r="AD10" s="786"/>
      <c r="AE10" s="879"/>
      <c r="AF10" s="879"/>
      <c r="AG10" s="879"/>
      <c r="AH10" s="879"/>
      <c r="AI10" s="879"/>
      <c r="AJ10" s="879"/>
      <c r="AK10" s="880"/>
      <c r="AL10" s="881"/>
      <c r="AM10" s="879"/>
      <c r="AN10" s="879"/>
      <c r="AO10" s="879"/>
      <c r="AP10" s="880"/>
      <c r="AQ10" s="879"/>
      <c r="AR10" s="879"/>
      <c r="AS10" s="879"/>
      <c r="AT10" s="879"/>
      <c r="AU10" s="879"/>
      <c r="AV10" s="785">
        <f t="shared" si="8"/>
        <v>57360</v>
      </c>
      <c r="AW10" s="785">
        <f t="shared" si="6"/>
        <v>57360</v>
      </c>
      <c r="AX10" s="785">
        <f t="shared" si="9"/>
        <v>0</v>
      </c>
      <c r="AY10"/>
      <c r="AZ10"/>
    </row>
    <row r="11" spans="1:52" ht="14.45">
      <c r="A11" s="174" t="str">
        <f>'C Financial'!A51</f>
        <v>Infrastructure allocation</v>
      </c>
      <c r="B11" s="819">
        <f>'C Financial'!C51</f>
        <v>3565000</v>
      </c>
      <c r="C11" s="789"/>
      <c r="D11" s="786"/>
      <c r="E11" s="784"/>
      <c r="F11" s="784"/>
      <c r="G11" s="784"/>
      <c r="H11" s="784"/>
      <c r="I11" s="784"/>
      <c r="J11" s="784"/>
      <c r="K11" s="784"/>
      <c r="L11" s="786"/>
      <c r="M11" s="786"/>
      <c r="N11" s="786"/>
      <c r="O11" s="786"/>
      <c r="P11" s="786"/>
      <c r="Q11" s="786"/>
      <c r="R11" s="786"/>
      <c r="S11" s="784">
        <f>$B11/2</f>
        <v>1782500</v>
      </c>
      <c r="T11" s="784">
        <f>$B11/2</f>
        <v>1782500</v>
      </c>
      <c r="U11" s="786"/>
      <c r="V11" s="786"/>
      <c r="W11" s="786"/>
      <c r="X11" s="786"/>
      <c r="Y11" s="786"/>
      <c r="Z11" s="786"/>
      <c r="AA11" s="786"/>
      <c r="AB11" s="786"/>
      <c r="AC11" s="786"/>
      <c r="AD11" s="786"/>
      <c r="AE11" s="879"/>
      <c r="AF11" s="879"/>
      <c r="AG11" s="879"/>
      <c r="AH11" s="879"/>
      <c r="AI11" s="879"/>
      <c r="AJ11" s="879"/>
      <c r="AK11" s="880"/>
      <c r="AL11" s="881"/>
      <c r="AM11" s="879"/>
      <c r="AN11" s="879"/>
      <c r="AO11" s="879"/>
      <c r="AP11" s="880"/>
      <c r="AQ11" s="879"/>
      <c r="AR11" s="882"/>
      <c r="AS11" s="882"/>
      <c r="AT11" s="882"/>
      <c r="AU11" s="882"/>
      <c r="AV11" s="785">
        <f t="shared" si="8"/>
        <v>3565000</v>
      </c>
      <c r="AW11" s="785">
        <f t="shared" si="6"/>
        <v>3565000</v>
      </c>
      <c r="AX11" s="785">
        <f t="shared" si="9"/>
        <v>0</v>
      </c>
      <c r="AY11"/>
      <c r="AZ11"/>
    </row>
    <row r="12" spans="1:52" ht="14.45">
      <c r="A12" s="174" t="str">
        <f>'C Financial'!A52</f>
        <v>Legal</v>
      </c>
      <c r="B12" s="819">
        <f>'C Financial'!C52</f>
        <v>400000</v>
      </c>
      <c r="C12" s="789"/>
      <c r="D12" s="789"/>
      <c r="E12" s="788">
        <v>100000</v>
      </c>
      <c r="F12" s="788">
        <v>100000</v>
      </c>
      <c r="G12" s="788">
        <v>50000</v>
      </c>
      <c r="H12" s="788">
        <v>50000</v>
      </c>
      <c r="I12" s="788">
        <v>50000</v>
      </c>
      <c r="J12" s="788">
        <v>50000</v>
      </c>
      <c r="K12" s="784"/>
      <c r="L12" s="786"/>
      <c r="M12" s="786"/>
      <c r="N12" s="786"/>
      <c r="O12" s="786"/>
      <c r="P12" s="786"/>
      <c r="Q12" s="786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6"/>
      <c r="AE12" s="786"/>
      <c r="AF12" s="786"/>
      <c r="AG12" s="786"/>
      <c r="AH12" s="786"/>
      <c r="AI12" s="786"/>
      <c r="AJ12" s="786"/>
      <c r="AK12" s="883"/>
      <c r="AL12" s="884"/>
      <c r="AM12" s="786"/>
      <c r="AN12" s="786"/>
      <c r="AO12" s="786"/>
      <c r="AP12" s="883"/>
      <c r="AQ12" s="786"/>
      <c r="AR12" s="786"/>
      <c r="AS12" s="786"/>
      <c r="AT12" s="786"/>
      <c r="AU12" s="786"/>
      <c r="AV12" s="785">
        <f t="shared" si="8"/>
        <v>400000</v>
      </c>
      <c r="AW12" s="785">
        <f t="shared" si="6"/>
        <v>400000</v>
      </c>
      <c r="AX12" s="785">
        <f t="shared" si="9"/>
        <v>0</v>
      </c>
      <c r="AY12"/>
      <c r="AZ12"/>
    </row>
    <row r="13" spans="1:52" ht="14.45">
      <c r="A13" s="174" t="str">
        <f>'C Financial'!A53</f>
        <v>Land Closing Costs/commissions</v>
      </c>
      <c r="B13" s="819">
        <f>'C Financial'!C53</f>
        <v>2140320</v>
      </c>
      <c r="C13" s="788"/>
      <c r="D13" s="784"/>
      <c r="E13" s="784"/>
      <c r="F13" s="784"/>
      <c r="G13" s="250"/>
      <c r="H13" s="784">
        <f>B13</f>
        <v>2140320</v>
      </c>
      <c r="I13" s="784"/>
      <c r="J13" s="784"/>
      <c r="K13" s="784"/>
      <c r="L13" s="784"/>
      <c r="M13" s="784"/>
      <c r="N13" s="784"/>
      <c r="O13" s="784"/>
      <c r="P13" s="784"/>
      <c r="Q13" s="784"/>
      <c r="R13" s="784"/>
      <c r="S13" s="784"/>
      <c r="T13" s="784"/>
      <c r="U13" s="784"/>
      <c r="V13" s="784"/>
      <c r="W13" s="784"/>
      <c r="X13" s="784"/>
      <c r="Y13" s="784"/>
      <c r="Z13" s="784"/>
      <c r="AA13" s="784"/>
      <c r="AB13" s="784"/>
      <c r="AC13" s="784"/>
      <c r="AD13" s="784"/>
      <c r="AE13" s="787"/>
      <c r="AF13" s="787"/>
      <c r="AG13" s="787"/>
      <c r="AH13" s="787"/>
      <c r="AI13" s="787"/>
      <c r="AJ13" s="787"/>
      <c r="AK13" s="885"/>
      <c r="AL13" s="886"/>
      <c r="AM13" s="787"/>
      <c r="AN13" s="787"/>
      <c r="AO13" s="787"/>
      <c r="AP13" s="885"/>
      <c r="AQ13" s="787"/>
      <c r="AR13" s="787"/>
      <c r="AS13" s="787"/>
      <c r="AT13" s="787"/>
      <c r="AU13" s="787"/>
      <c r="AV13" s="785">
        <f t="shared" si="8"/>
        <v>2140320</v>
      </c>
      <c r="AW13" s="785">
        <f t="shared" si="6"/>
        <v>2140320</v>
      </c>
      <c r="AX13" s="785">
        <f t="shared" si="9"/>
        <v>0</v>
      </c>
      <c r="AY13"/>
      <c r="AZ13"/>
    </row>
    <row r="14" spans="1:52" ht="14.45">
      <c r="A14" s="174" t="str">
        <f>'C Financial'!A55</f>
        <v xml:space="preserve">Design </v>
      </c>
      <c r="B14" s="819">
        <f>'C Financial'!C55</f>
        <v>2728676.55</v>
      </c>
      <c r="C14" s="784"/>
      <c r="D14" s="784"/>
      <c r="E14" s="784">
        <f>0.3*$B14</f>
        <v>818602.96499999997</v>
      </c>
      <c r="F14" s="784">
        <f>0.3*$B14</f>
        <v>818602.96499999997</v>
      </c>
      <c r="G14" s="784">
        <f>0.1*$B14</f>
        <v>272867.65499999997</v>
      </c>
      <c r="H14" s="784">
        <f>0.1*$B14</f>
        <v>272867.65499999997</v>
      </c>
      <c r="I14" s="784">
        <f>0.05*$B14</f>
        <v>136433.82749999998</v>
      </c>
      <c r="J14" s="784">
        <f>0.02*$B14</f>
        <v>54573.530999999995</v>
      </c>
      <c r="K14" s="784">
        <f t="shared" ref="K14:N14" si="12">0.02*$B14</f>
        <v>54573.530999999995</v>
      </c>
      <c r="L14" s="784">
        <f t="shared" si="12"/>
        <v>54573.530999999995</v>
      </c>
      <c r="M14" s="784">
        <f t="shared" si="12"/>
        <v>54573.530999999995</v>
      </c>
      <c r="N14" s="784">
        <f t="shared" si="12"/>
        <v>54573.530999999995</v>
      </c>
      <c r="O14" s="784">
        <f>0.01*$B14</f>
        <v>27286.765499999998</v>
      </c>
      <c r="P14" s="784">
        <f t="shared" ref="P14:S14" si="13">0.01*$B14</f>
        <v>27286.765499999998</v>
      </c>
      <c r="Q14" s="784">
        <f t="shared" si="13"/>
        <v>27286.765499999998</v>
      </c>
      <c r="R14" s="784">
        <f t="shared" si="13"/>
        <v>27286.765499999998</v>
      </c>
      <c r="S14" s="784">
        <f t="shared" si="13"/>
        <v>27286.765499999998</v>
      </c>
      <c r="T14" s="784"/>
      <c r="U14" s="784"/>
      <c r="V14" s="784"/>
      <c r="W14" s="784"/>
      <c r="X14" s="784"/>
      <c r="Y14" s="784"/>
      <c r="Z14" s="784"/>
      <c r="AA14" s="784"/>
      <c r="AB14" s="784"/>
      <c r="AC14" s="784"/>
      <c r="AD14" s="784"/>
      <c r="AE14" s="784"/>
      <c r="AF14" s="784"/>
      <c r="AG14" s="784"/>
      <c r="AH14" s="784"/>
      <c r="AI14" s="784"/>
      <c r="AJ14" s="784"/>
      <c r="AK14" s="784"/>
      <c r="AL14" s="784"/>
      <c r="AM14" s="784"/>
      <c r="AN14" s="784"/>
      <c r="AO14" s="784"/>
      <c r="AP14" s="784"/>
      <c r="AQ14" s="787"/>
      <c r="AR14" s="787"/>
      <c r="AS14" s="787"/>
      <c r="AT14" s="787"/>
      <c r="AU14" s="787"/>
      <c r="AV14" s="785">
        <f t="shared" si="8"/>
        <v>2728676.5500000007</v>
      </c>
      <c r="AW14" s="785">
        <f t="shared" si="6"/>
        <v>2728676.55</v>
      </c>
      <c r="AX14" s="785">
        <f t="shared" si="9"/>
        <v>0</v>
      </c>
      <c r="AY14"/>
      <c r="AZ14"/>
    </row>
    <row r="15" spans="1:52" ht="14.45">
      <c r="A15" s="174" t="str">
        <f>'C Financial'!A56</f>
        <v>Developer Fee</v>
      </c>
      <c r="B15" s="819">
        <f>'C Financial'!C56</f>
        <v>3388573.049366022</v>
      </c>
      <c r="C15" s="784"/>
      <c r="D15" s="784"/>
      <c r="E15" s="784">
        <f t="shared" ref="E15:G15" si="14">$B15*E4</f>
        <v>0</v>
      </c>
      <c r="F15" s="784">
        <f t="shared" si="14"/>
        <v>0</v>
      </c>
      <c r="G15" s="784">
        <f t="shared" si="14"/>
        <v>0</v>
      </c>
      <c r="H15" s="784"/>
      <c r="I15" s="784"/>
      <c r="J15" s="784"/>
      <c r="K15" s="784">
        <f t="shared" ref="K15:U16" si="15">$B15/12</f>
        <v>282381.08744716848</v>
      </c>
      <c r="L15" s="784">
        <f t="shared" si="15"/>
        <v>282381.08744716848</v>
      </c>
      <c r="M15" s="784">
        <f t="shared" si="15"/>
        <v>282381.08744716848</v>
      </c>
      <c r="N15" s="784">
        <f t="shared" si="15"/>
        <v>282381.08744716848</v>
      </c>
      <c r="O15" s="784">
        <f t="shared" si="15"/>
        <v>282381.08744716848</v>
      </c>
      <c r="P15" s="784">
        <f t="shared" si="15"/>
        <v>282381.08744716848</v>
      </c>
      <c r="Q15" s="784">
        <f t="shared" si="15"/>
        <v>282381.08744716848</v>
      </c>
      <c r="R15" s="784">
        <f t="shared" si="15"/>
        <v>282381.08744716848</v>
      </c>
      <c r="S15" s="784">
        <f t="shared" si="15"/>
        <v>282381.08744716848</v>
      </c>
      <c r="T15" s="784">
        <f t="shared" si="15"/>
        <v>282381.08744716848</v>
      </c>
      <c r="U15" s="784">
        <f t="shared" si="15"/>
        <v>282381.08744716848</v>
      </c>
      <c r="V15" s="784">
        <f>$B15/12</f>
        <v>282381.08744716848</v>
      </c>
      <c r="W15" s="784"/>
      <c r="X15" s="784"/>
      <c r="Y15" s="784"/>
      <c r="Z15" s="784"/>
      <c r="AA15" s="784"/>
      <c r="AB15" s="784"/>
      <c r="AC15" s="784"/>
      <c r="AD15" s="784"/>
      <c r="AE15" s="784"/>
      <c r="AF15" s="784"/>
      <c r="AG15" s="784"/>
      <c r="AH15" s="784"/>
      <c r="AI15" s="784"/>
      <c r="AJ15" s="784"/>
      <c r="AK15" s="784"/>
      <c r="AL15" s="784"/>
      <c r="AM15" s="784"/>
      <c r="AN15" s="784"/>
      <c r="AO15" s="784"/>
      <c r="AP15" s="784"/>
      <c r="AQ15" s="784"/>
      <c r="AR15" s="784"/>
      <c r="AS15" s="784"/>
      <c r="AT15" s="784"/>
      <c r="AU15" s="784"/>
      <c r="AV15" s="785">
        <f t="shared" si="8"/>
        <v>3388573.0493660211</v>
      </c>
      <c r="AW15" s="785">
        <f t="shared" si="6"/>
        <v>3388573.049366022</v>
      </c>
      <c r="AX15" s="785">
        <f t="shared" si="9"/>
        <v>0</v>
      </c>
      <c r="AY15"/>
      <c r="AZ15"/>
    </row>
    <row r="16" spans="1:52" ht="14.45">
      <c r="A16" s="174" t="str">
        <f>'C Financial'!A57</f>
        <v>Construction Management Fee</v>
      </c>
      <c r="B16" s="819">
        <f>'C Financial'!C57</f>
        <v>1819117.7</v>
      </c>
      <c r="C16" s="784">
        <f>$B16*C$4</f>
        <v>0</v>
      </c>
      <c r="D16" s="784">
        <f t="shared" ref="D16:G16" si="16">$B16*D$4</f>
        <v>0</v>
      </c>
      <c r="E16" s="784">
        <f t="shared" si="16"/>
        <v>0</v>
      </c>
      <c r="F16" s="784">
        <f t="shared" si="16"/>
        <v>0</v>
      </c>
      <c r="G16" s="784">
        <f t="shared" si="16"/>
        <v>0</v>
      </c>
      <c r="H16" s="784"/>
      <c r="I16" s="784"/>
      <c r="J16" s="784"/>
      <c r="K16" s="784">
        <f t="shared" si="15"/>
        <v>151593.14166666666</v>
      </c>
      <c r="L16" s="784">
        <f t="shared" si="15"/>
        <v>151593.14166666666</v>
      </c>
      <c r="M16" s="784">
        <f t="shared" si="15"/>
        <v>151593.14166666666</v>
      </c>
      <c r="N16" s="784">
        <f t="shared" si="15"/>
        <v>151593.14166666666</v>
      </c>
      <c r="O16" s="784">
        <f t="shared" si="15"/>
        <v>151593.14166666666</v>
      </c>
      <c r="P16" s="784">
        <f t="shared" si="15"/>
        <v>151593.14166666666</v>
      </c>
      <c r="Q16" s="784">
        <f t="shared" si="15"/>
        <v>151593.14166666666</v>
      </c>
      <c r="R16" s="784">
        <f t="shared" si="15"/>
        <v>151593.14166666666</v>
      </c>
      <c r="S16" s="784">
        <f t="shared" si="15"/>
        <v>151593.14166666666</v>
      </c>
      <c r="T16" s="784">
        <f t="shared" si="15"/>
        <v>151593.14166666666</v>
      </c>
      <c r="U16" s="784">
        <f t="shared" si="15"/>
        <v>151593.14166666666</v>
      </c>
      <c r="V16" s="784">
        <f>$B16/12</f>
        <v>151593.14166666666</v>
      </c>
      <c r="W16" s="784"/>
      <c r="X16" s="784"/>
      <c r="Y16" s="784"/>
      <c r="Z16" s="784"/>
      <c r="AA16" s="784"/>
      <c r="AB16" s="784"/>
      <c r="AC16" s="784"/>
      <c r="AD16" s="784"/>
      <c r="AE16" s="784"/>
      <c r="AF16" s="784"/>
      <c r="AG16" s="784"/>
      <c r="AH16" s="784"/>
      <c r="AI16" s="784"/>
      <c r="AJ16" s="784"/>
      <c r="AK16" s="784"/>
      <c r="AL16" s="784"/>
      <c r="AM16" s="784"/>
      <c r="AN16" s="784"/>
      <c r="AO16" s="784"/>
      <c r="AP16" s="784"/>
      <c r="AQ16" s="784"/>
      <c r="AR16" s="784"/>
      <c r="AS16" s="784"/>
      <c r="AT16" s="784"/>
      <c r="AU16" s="784"/>
      <c r="AV16" s="785">
        <f t="shared" si="8"/>
        <v>1819117.6999999995</v>
      </c>
      <c r="AW16" s="785">
        <f t="shared" si="6"/>
        <v>1819117.7</v>
      </c>
      <c r="AX16" s="785">
        <f t="shared" si="9"/>
        <v>0</v>
      </c>
      <c r="AY16"/>
      <c r="AZ16"/>
    </row>
    <row r="17" spans="1:52" ht="14.45">
      <c r="A17" s="174" t="str">
        <f>'C Financial'!A58</f>
        <v>Taxes</v>
      </c>
      <c r="B17" s="819">
        <f>'C Financial'!C58</f>
        <v>3920865.1199999996</v>
      </c>
      <c r="C17" s="788"/>
      <c r="D17" s="784"/>
      <c r="E17" s="784"/>
      <c r="F17" s="784"/>
      <c r="G17" s="787"/>
      <c r="H17" s="784"/>
      <c r="I17" s="784"/>
      <c r="J17" s="784">
        <f>$B17/10</f>
        <v>392086.51199999999</v>
      </c>
      <c r="K17" s="784"/>
      <c r="L17" s="784">
        <f>$B17/8</f>
        <v>490108.13999999996</v>
      </c>
      <c r="M17" s="784"/>
      <c r="N17" s="784">
        <f>$B17/6</f>
        <v>653477.5199999999</v>
      </c>
      <c r="O17" s="784"/>
      <c r="P17" s="784">
        <f>$B17/6</f>
        <v>653477.5199999999</v>
      </c>
      <c r="Q17" s="784"/>
      <c r="R17" s="784">
        <f>$B17/6</f>
        <v>653477.5199999999</v>
      </c>
      <c r="S17" s="250"/>
      <c r="T17" s="784"/>
      <c r="U17" s="250"/>
      <c r="V17" s="784">
        <f>B17-SUM(J17:S17)</f>
        <v>1078237.9079999998</v>
      </c>
      <c r="W17" s="784"/>
      <c r="X17" s="250"/>
      <c r="Y17" s="784"/>
      <c r="Z17" s="784"/>
      <c r="AA17" s="784"/>
      <c r="AB17" s="784"/>
      <c r="AC17" s="784"/>
      <c r="AD17" s="784"/>
      <c r="AE17" s="250"/>
      <c r="AF17" s="784"/>
      <c r="AG17" s="250"/>
      <c r="AH17" s="784"/>
      <c r="AI17" s="787"/>
      <c r="AJ17" s="784"/>
      <c r="AK17" s="784"/>
      <c r="AL17" s="784"/>
      <c r="AM17" s="784"/>
      <c r="AN17" s="784"/>
      <c r="AO17" s="784"/>
      <c r="AP17" s="887"/>
      <c r="AQ17" s="784"/>
      <c r="AR17" s="784"/>
      <c r="AS17" s="784"/>
      <c r="AT17" s="784"/>
      <c r="AU17" s="784"/>
      <c r="AV17" s="785">
        <f t="shared" si="8"/>
        <v>3920865.1199999996</v>
      </c>
      <c r="AW17" s="785">
        <f t="shared" si="6"/>
        <v>3920865.1199999996</v>
      </c>
      <c r="AX17" s="785">
        <f t="shared" si="9"/>
        <v>0</v>
      </c>
      <c r="AY17"/>
      <c r="AZ17"/>
    </row>
    <row r="18" spans="1:52" ht="14.45">
      <c r="A18" s="174" t="str">
        <f>'C Financial'!A59</f>
        <v>Insurance</v>
      </c>
      <c r="B18" s="819">
        <f>'C Financial'!C59</f>
        <v>1747080</v>
      </c>
      <c r="C18" s="788"/>
      <c r="D18" s="250"/>
      <c r="E18" s="250"/>
      <c r="F18" s="784"/>
      <c r="G18" s="784"/>
      <c r="H18" s="784">
        <v>10000</v>
      </c>
      <c r="I18" s="784">
        <v>10000</v>
      </c>
      <c r="J18" s="784"/>
      <c r="K18" s="784"/>
      <c r="L18" s="788">
        <f>$B18-SUM(C18:K18)</f>
        <v>1727080</v>
      </c>
      <c r="M18" s="784"/>
      <c r="N18" s="784"/>
      <c r="O18" s="784"/>
      <c r="P18" s="784"/>
      <c r="Q18" s="784"/>
      <c r="R18" s="784"/>
      <c r="S18" s="784"/>
      <c r="T18" s="250"/>
      <c r="U18" s="784"/>
      <c r="V18" s="784">
        <f>$B18-SUM(C18:U18)</f>
        <v>0</v>
      </c>
      <c r="W18" s="784"/>
      <c r="X18" s="784"/>
      <c r="Y18" s="784"/>
      <c r="Z18" s="784"/>
      <c r="AA18" s="784"/>
      <c r="AB18" s="784"/>
      <c r="AC18" s="784"/>
      <c r="AD18" s="784"/>
      <c r="AE18" s="784"/>
      <c r="AF18" s="784"/>
      <c r="AG18" s="784"/>
      <c r="AH18" s="784"/>
      <c r="AI18" s="784"/>
      <c r="AJ18" s="784"/>
      <c r="AK18" s="887"/>
      <c r="AL18" s="888"/>
      <c r="AM18" s="784"/>
      <c r="AN18" s="784"/>
      <c r="AO18" s="784"/>
      <c r="AP18" s="887"/>
      <c r="AQ18" s="784"/>
      <c r="AR18" s="784"/>
      <c r="AS18" s="784"/>
      <c r="AT18" s="784"/>
      <c r="AU18" s="784"/>
      <c r="AV18" s="785">
        <f t="shared" si="8"/>
        <v>1747080</v>
      </c>
      <c r="AW18" s="785">
        <f t="shared" si="6"/>
        <v>1747080</v>
      </c>
      <c r="AX18" s="785">
        <f t="shared" si="9"/>
        <v>0</v>
      </c>
      <c r="AY18"/>
      <c r="AZ18"/>
    </row>
    <row r="19" spans="1:52" ht="14.45">
      <c r="A19" s="174" t="str">
        <f>'C Financial'!A60</f>
        <v>Marketing, FFE and Preleasing</v>
      </c>
      <c r="B19" s="819">
        <f>'C Financial'!C60</f>
        <v>400000</v>
      </c>
      <c r="C19" s="788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>
        <f>$B19/2</f>
        <v>200000</v>
      </c>
      <c r="V19" s="784">
        <f>$B19/2</f>
        <v>200000</v>
      </c>
      <c r="W19" s="784"/>
      <c r="X19" s="794"/>
      <c r="Y19" s="794"/>
      <c r="Z19" s="794"/>
      <c r="AA19" s="794"/>
      <c r="AB19" s="889"/>
      <c r="AC19" s="787"/>
      <c r="AD19" s="787"/>
      <c r="AE19" s="784"/>
      <c r="AF19" s="250"/>
      <c r="AG19" s="250"/>
      <c r="AH19" s="250"/>
      <c r="AI19" s="794"/>
      <c r="AJ19" s="794"/>
      <c r="AK19" s="794"/>
      <c r="AL19" s="794"/>
      <c r="AM19" s="787"/>
      <c r="AN19" s="787"/>
      <c r="AO19" s="787"/>
      <c r="AP19" s="885"/>
      <c r="AQ19" s="787"/>
      <c r="AR19" s="787"/>
      <c r="AS19" s="787"/>
      <c r="AT19" s="787"/>
      <c r="AU19" s="787"/>
      <c r="AV19" s="785">
        <f t="shared" si="8"/>
        <v>400000</v>
      </c>
      <c r="AW19" s="785">
        <f t="shared" si="6"/>
        <v>400000</v>
      </c>
      <c r="AX19" s="785">
        <f t="shared" si="9"/>
        <v>0</v>
      </c>
      <c r="AY19"/>
      <c r="AZ19"/>
    </row>
    <row r="20" spans="1:52" ht="14.45">
      <c r="A20" s="174" t="str">
        <f>'C Financial'!A61</f>
        <v>Operating Deficit</v>
      </c>
      <c r="B20" s="819">
        <f>'C Financial'!C61</f>
        <v>1866825</v>
      </c>
      <c r="C20" s="788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/>
      <c r="U20" s="784">
        <f>$B20/2</f>
        <v>933412.5</v>
      </c>
      <c r="V20" s="784">
        <f>$B20/2</f>
        <v>933412.5</v>
      </c>
      <c r="W20" s="784"/>
      <c r="X20" s="784"/>
      <c r="Y20" s="784"/>
      <c r="Z20" s="890"/>
      <c r="AA20" s="890"/>
      <c r="AB20" s="889"/>
      <c r="AC20" s="787"/>
      <c r="AD20" s="787"/>
      <c r="AE20" s="784"/>
      <c r="AF20" s="794"/>
      <c r="AG20" s="794"/>
      <c r="AH20" s="794"/>
      <c r="AI20" s="794"/>
      <c r="AJ20" s="250"/>
      <c r="AK20" s="255"/>
      <c r="AL20" s="255"/>
      <c r="AM20" s="255"/>
      <c r="AN20" s="255"/>
      <c r="AO20" s="255"/>
      <c r="AP20" s="255"/>
      <c r="AQ20" s="787"/>
      <c r="AR20" s="788"/>
      <c r="AS20" s="788"/>
      <c r="AT20" s="788"/>
      <c r="AU20" s="788"/>
      <c r="AV20" s="785">
        <f t="shared" si="8"/>
        <v>1866825</v>
      </c>
      <c r="AW20" s="785">
        <f t="shared" si="6"/>
        <v>1866825</v>
      </c>
      <c r="AX20" s="785">
        <f t="shared" si="9"/>
        <v>0</v>
      </c>
      <c r="AY20"/>
      <c r="AZ20"/>
    </row>
    <row r="21" spans="1:52" ht="14.45">
      <c r="A21" s="174" t="str">
        <f>'C Financial'!A62</f>
        <v>Retail Tenant Improvements</v>
      </c>
      <c r="B21" s="819">
        <f>'C Financial'!C62</f>
        <v>8925000</v>
      </c>
      <c r="C21" s="788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>
        <f>$B21*0.2</f>
        <v>1785000</v>
      </c>
      <c r="O21" s="784">
        <f>$B21*O4</f>
        <v>1071000</v>
      </c>
      <c r="P21" s="784">
        <f t="shared" ref="P21:V21" si="17">$B21*P4</f>
        <v>1071000</v>
      </c>
      <c r="Q21" s="784">
        <f t="shared" si="17"/>
        <v>1071000</v>
      </c>
      <c r="R21" s="784">
        <f t="shared" si="17"/>
        <v>1071000</v>
      </c>
      <c r="S21" s="784">
        <f t="shared" si="17"/>
        <v>714000</v>
      </c>
      <c r="T21" s="784">
        <f t="shared" si="17"/>
        <v>714000</v>
      </c>
      <c r="U21" s="784">
        <f t="shared" si="17"/>
        <v>714000</v>
      </c>
      <c r="V21" s="784">
        <f t="shared" si="17"/>
        <v>714000</v>
      </c>
      <c r="W21" s="784"/>
      <c r="X21" s="784"/>
      <c r="Y21" s="784"/>
      <c r="Z21" s="784"/>
      <c r="AA21" s="787"/>
      <c r="AB21" s="889"/>
      <c r="AC21" s="788"/>
      <c r="AD21" s="787"/>
      <c r="AE21" s="784"/>
      <c r="AF21" s="794"/>
      <c r="AG21" s="794"/>
      <c r="AH21" s="794"/>
      <c r="AI21" s="794"/>
      <c r="AJ21" s="890"/>
      <c r="AK21" s="891"/>
      <c r="AL21" s="886"/>
      <c r="AM21" s="787"/>
      <c r="AN21" s="787"/>
      <c r="AO21" s="787"/>
      <c r="AP21" s="885"/>
      <c r="AQ21" s="787"/>
      <c r="AR21" s="787"/>
      <c r="AS21" s="787"/>
      <c r="AT21" s="787"/>
      <c r="AU21" s="787"/>
      <c r="AV21" s="785">
        <f t="shared" si="8"/>
        <v>8925000</v>
      </c>
      <c r="AW21" s="785">
        <f t="shared" si="6"/>
        <v>8925000</v>
      </c>
      <c r="AX21" s="785">
        <f t="shared" si="9"/>
        <v>0</v>
      </c>
      <c r="AY21"/>
      <c r="AZ21"/>
    </row>
    <row r="22" spans="1:52" ht="14.45">
      <c r="A22" s="174" t="str">
        <f>'C Financial'!A63</f>
        <v>Retail brokerage</v>
      </c>
      <c r="B22" s="819">
        <f>'C Financial'!C63</f>
        <v>1499400</v>
      </c>
      <c r="C22" s="788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/>
      <c r="T22" s="784"/>
      <c r="U22" s="784"/>
      <c r="V22" s="784"/>
      <c r="W22" s="784">
        <f>B22</f>
        <v>1499400</v>
      </c>
      <c r="X22" s="784"/>
      <c r="Y22" s="784"/>
      <c r="Z22" s="784"/>
      <c r="AA22" s="784"/>
      <c r="AB22" s="784"/>
      <c r="AC22" s="784"/>
      <c r="AD22" s="784"/>
      <c r="AE22" s="784"/>
      <c r="AF22" s="784"/>
      <c r="AG22" s="784"/>
      <c r="AH22" s="784"/>
      <c r="AI22" s="784"/>
      <c r="AJ22" s="784"/>
      <c r="AK22" s="887"/>
      <c r="AL22" s="886"/>
      <c r="AM22" s="787"/>
      <c r="AN22" s="784"/>
      <c r="AO22" s="784"/>
      <c r="AP22" s="887"/>
      <c r="AQ22" s="784"/>
      <c r="AR22" s="784"/>
      <c r="AS22" s="784"/>
      <c r="AT22" s="784"/>
      <c r="AU22" s="784"/>
      <c r="AV22" s="785">
        <f t="shared" si="8"/>
        <v>1499400</v>
      </c>
      <c r="AW22" s="785">
        <f t="shared" si="6"/>
        <v>1499400</v>
      </c>
      <c r="AX22" s="785">
        <f t="shared" si="9"/>
        <v>0</v>
      </c>
      <c r="AY22"/>
      <c r="AZ22"/>
    </row>
    <row r="23" spans="1:52" ht="14.45">
      <c r="A23" s="174" t="str">
        <f>'C Financial'!A64</f>
        <v>Construction Loan Origination</v>
      </c>
      <c r="B23" s="819">
        <f>'C Financial'!C64</f>
        <v>1419510</v>
      </c>
      <c r="C23" s="784">
        <f>$B$23*C4</f>
        <v>0</v>
      </c>
      <c r="D23" s="784">
        <f>$B$23*D4</f>
        <v>0</v>
      </c>
      <c r="E23" s="784">
        <v>0</v>
      </c>
      <c r="F23" s="784">
        <v>0</v>
      </c>
      <c r="G23" s="784">
        <v>0</v>
      </c>
      <c r="H23" s="784">
        <v>0</v>
      </c>
      <c r="I23" s="784">
        <v>0</v>
      </c>
      <c r="J23" s="784">
        <v>0</v>
      </c>
      <c r="K23" s="784">
        <f>$B23</f>
        <v>1419510</v>
      </c>
      <c r="L23" s="784">
        <v>0</v>
      </c>
      <c r="M23" s="250"/>
      <c r="N23" s="784">
        <v>0</v>
      </c>
      <c r="O23" s="784">
        <v>0</v>
      </c>
      <c r="P23" s="784"/>
      <c r="Q23" s="784"/>
      <c r="R23" s="784"/>
      <c r="S23" s="784"/>
      <c r="T23" s="784"/>
      <c r="U23" s="784"/>
      <c r="V23" s="784"/>
      <c r="W23" s="250"/>
      <c r="X23" s="784"/>
      <c r="Y23" s="784"/>
      <c r="Z23" s="784"/>
      <c r="AA23" s="784"/>
      <c r="AB23" s="784"/>
      <c r="AC23" s="784"/>
      <c r="AD23" s="784"/>
      <c r="AE23" s="784"/>
      <c r="AF23" s="784"/>
      <c r="AG23" s="784"/>
      <c r="AH23" s="784"/>
      <c r="AI23" s="784"/>
      <c r="AJ23" s="784"/>
      <c r="AK23" s="887"/>
      <c r="AL23" s="888"/>
      <c r="AM23" s="784"/>
      <c r="AN23" s="784"/>
      <c r="AO23" s="784"/>
      <c r="AP23" s="887"/>
      <c r="AQ23" s="784"/>
      <c r="AR23" s="784"/>
      <c r="AS23" s="784"/>
      <c r="AT23" s="784"/>
      <c r="AU23" s="784"/>
      <c r="AV23" s="785">
        <f t="shared" si="8"/>
        <v>1419510</v>
      </c>
      <c r="AW23" s="785">
        <f t="shared" si="6"/>
        <v>1419510</v>
      </c>
      <c r="AX23" s="785">
        <f t="shared" si="9"/>
        <v>0</v>
      </c>
      <c r="AY23"/>
      <c r="AZ23"/>
    </row>
    <row r="24" spans="1:52" ht="14.45">
      <c r="A24" s="174" t="str">
        <f>'C Financial'!A65</f>
        <v>Construction Interest</v>
      </c>
      <c r="B24" s="819">
        <f>'C Financial'!C65</f>
        <v>6624380.0000000009</v>
      </c>
      <c r="C24" s="796"/>
      <c r="D24" s="784"/>
      <c r="E24" s="784"/>
      <c r="F24" s="784"/>
      <c r="G24" s="784"/>
      <c r="H24" s="784"/>
      <c r="I24" s="784"/>
      <c r="J24" s="784"/>
      <c r="K24" s="784"/>
      <c r="L24" s="784"/>
      <c r="M24" s="784"/>
      <c r="N24" s="784">
        <f>$B24/16</f>
        <v>414023.75000000006</v>
      </c>
      <c r="O24" s="784">
        <f t="shared" ref="O24:P24" si="18">$B24/16</f>
        <v>414023.75000000006</v>
      </c>
      <c r="P24" s="784">
        <f t="shared" si="18"/>
        <v>414023.75000000006</v>
      </c>
      <c r="Q24" s="784">
        <f t="shared" ref="Q24:V24" si="19">$B24/10</f>
        <v>662438.00000000012</v>
      </c>
      <c r="R24" s="784">
        <f t="shared" si="19"/>
        <v>662438.00000000012</v>
      </c>
      <c r="S24" s="784">
        <f t="shared" si="19"/>
        <v>662438.00000000012</v>
      </c>
      <c r="T24" s="784">
        <f t="shared" si="19"/>
        <v>662438.00000000012</v>
      </c>
      <c r="U24" s="784">
        <f t="shared" si="19"/>
        <v>662438.00000000012</v>
      </c>
      <c r="V24" s="784">
        <f t="shared" si="19"/>
        <v>662438.00000000012</v>
      </c>
      <c r="W24" s="784">
        <f>$B24/10+4725</f>
        <v>667163.00000000012</v>
      </c>
      <c r="X24" s="784">
        <f>$B24/9+4476</f>
        <v>740518.22222222236</v>
      </c>
      <c r="Y24" s="784"/>
      <c r="Z24" s="784"/>
      <c r="AA24" s="784"/>
      <c r="AB24" s="784"/>
      <c r="AC24" s="784"/>
      <c r="AD24" s="784"/>
      <c r="AE24" s="784"/>
      <c r="AF24" s="784"/>
      <c r="AG24" s="784"/>
      <c r="AH24" s="784"/>
      <c r="AI24" s="784"/>
      <c r="AJ24" s="784"/>
      <c r="AK24" s="784"/>
      <c r="AL24" s="784"/>
      <c r="AM24" s="784"/>
      <c r="AN24" s="784"/>
      <c r="AO24" s="784"/>
      <c r="AP24" s="784"/>
      <c r="AQ24" s="784"/>
      <c r="AR24" s="784"/>
      <c r="AS24" s="784"/>
      <c r="AT24" s="784"/>
      <c r="AU24" s="784"/>
      <c r="AV24" s="785">
        <f t="shared" si="8"/>
        <v>6624380.4722222229</v>
      </c>
      <c r="AW24" s="785">
        <f t="shared" si="6"/>
        <v>6624380.0000000009</v>
      </c>
      <c r="AX24" s="785">
        <f t="shared" si="9"/>
        <v>-0.47222222201526165</v>
      </c>
      <c r="AY24"/>
      <c r="AZ24"/>
    </row>
    <row r="25" spans="1:52" ht="26.25" customHeight="1" thickBot="1">
      <c r="A25" s="892" t="str">
        <f>'C Financial'!A66</f>
        <v>Additional Contingency</v>
      </c>
      <c r="B25" s="799">
        <f>'C Financial'!C66</f>
        <v>2276447.6059755511</v>
      </c>
      <c r="C25" s="798">
        <v>0</v>
      </c>
      <c r="D25" s="798">
        <v>0</v>
      </c>
      <c r="E25" s="798">
        <v>0</v>
      </c>
      <c r="F25" s="798"/>
      <c r="G25" s="798">
        <v>0</v>
      </c>
      <c r="H25" s="798">
        <v>0</v>
      </c>
      <c r="I25" s="798">
        <v>0</v>
      </c>
      <c r="J25" s="798">
        <v>0</v>
      </c>
      <c r="K25" s="798">
        <f t="shared" ref="K25:U25" si="20">$B25*K4</f>
        <v>113822.38029877756</v>
      </c>
      <c r="L25" s="798">
        <f t="shared" si="20"/>
        <v>113822.38029877756</v>
      </c>
      <c r="M25" s="798">
        <f t="shared" si="20"/>
        <v>113822.38029877756</v>
      </c>
      <c r="N25" s="798">
        <f t="shared" si="20"/>
        <v>113822.38029877756</v>
      </c>
      <c r="O25" s="798">
        <f t="shared" si="20"/>
        <v>273173.71271706611</v>
      </c>
      <c r="P25" s="798">
        <f t="shared" si="20"/>
        <v>273173.71271706611</v>
      </c>
      <c r="Q25" s="798">
        <f t="shared" si="20"/>
        <v>273173.71271706611</v>
      </c>
      <c r="R25" s="798">
        <f t="shared" si="20"/>
        <v>273173.71271706611</v>
      </c>
      <c r="S25" s="798">
        <f t="shared" si="20"/>
        <v>182115.80847804408</v>
      </c>
      <c r="T25" s="798">
        <f t="shared" si="20"/>
        <v>182115.80847804408</v>
      </c>
      <c r="U25" s="798">
        <f t="shared" si="20"/>
        <v>182115.80847804408</v>
      </c>
      <c r="V25" s="798">
        <f>$B25*V4</f>
        <v>182115.80847804408</v>
      </c>
      <c r="W25" s="798"/>
      <c r="X25" s="798"/>
      <c r="Y25" s="798"/>
      <c r="Z25" s="798"/>
      <c r="AA25" s="798"/>
      <c r="AB25" s="798"/>
      <c r="AC25" s="798"/>
      <c r="AD25" s="798"/>
      <c r="AE25" s="798"/>
      <c r="AF25" s="798"/>
      <c r="AG25" s="798"/>
      <c r="AH25" s="798"/>
      <c r="AI25" s="798"/>
      <c r="AJ25" s="798"/>
      <c r="AK25" s="798"/>
      <c r="AL25" s="798"/>
      <c r="AM25" s="893"/>
      <c r="AN25" s="893"/>
      <c r="AO25" s="893"/>
      <c r="AP25" s="893"/>
      <c r="AQ25" s="894"/>
      <c r="AR25" s="894"/>
      <c r="AS25" s="894"/>
      <c r="AT25" s="894"/>
      <c r="AU25" s="894"/>
      <c r="AV25" s="785">
        <f t="shared" si="8"/>
        <v>2276447.6059755511</v>
      </c>
      <c r="AW25" s="785">
        <f t="shared" si="6"/>
        <v>2276447.6059755511</v>
      </c>
      <c r="AX25" s="785">
        <f t="shared" si="9"/>
        <v>0</v>
      </c>
      <c r="AY25"/>
      <c r="AZ25"/>
    </row>
    <row r="26" spans="1:52" ht="15.6" thickTop="1" thickBot="1">
      <c r="A26" s="184" t="str">
        <f>'A Financial'!A68</f>
        <v>Total Project Cost</v>
      </c>
      <c r="B26" s="185">
        <f t="shared" ref="B26:X26" si="21">SUM(B5:B25)</f>
        <v>146310379.454209</v>
      </c>
      <c r="C26" s="895">
        <f t="shared" si="21"/>
        <v>0</v>
      </c>
      <c r="D26" s="895">
        <f t="shared" si="21"/>
        <v>0</v>
      </c>
      <c r="E26" s="895">
        <f t="shared" si="21"/>
        <v>1318602.9649999999</v>
      </c>
      <c r="F26" s="895">
        <f t="shared" si="21"/>
        <v>918602.96499999997</v>
      </c>
      <c r="G26" s="895">
        <f t="shared" si="21"/>
        <v>322867.65499999997</v>
      </c>
      <c r="H26" s="895">
        <f t="shared" si="21"/>
        <v>3561627.0838674079</v>
      </c>
      <c r="I26" s="895">
        <f t="shared" si="21"/>
        <v>196433.82749999998</v>
      </c>
      <c r="J26" s="895">
        <f t="shared" si="21"/>
        <v>996660.04299999995</v>
      </c>
      <c r="K26" s="895">
        <f t="shared" si="21"/>
        <v>7156409.3904126128</v>
      </c>
      <c r="L26" s="895">
        <f t="shared" si="21"/>
        <v>7896727.5304126125</v>
      </c>
      <c r="M26" s="895">
        <f t="shared" si="21"/>
        <v>5679539.3904126128</v>
      </c>
      <c r="N26" s="895">
        <f t="shared" si="21"/>
        <v>8532040.6604126133</v>
      </c>
      <c r="O26" s="895">
        <f t="shared" si="21"/>
        <v>14404664.6573309</v>
      </c>
      <c r="P26" s="895">
        <f t="shared" si="21"/>
        <v>15058142.1773309</v>
      </c>
      <c r="Q26" s="895">
        <f t="shared" si="21"/>
        <v>14653078.9073309</v>
      </c>
      <c r="R26" s="895">
        <f t="shared" si="21"/>
        <v>15306556.4273309</v>
      </c>
      <c r="S26" s="895">
        <f t="shared" si="21"/>
        <v>11925785.603091881</v>
      </c>
      <c r="T26" s="895">
        <f t="shared" si="21"/>
        <v>11898498.837591881</v>
      </c>
      <c r="U26" s="895">
        <f t="shared" si="21"/>
        <v>11249411.337591881</v>
      </c>
      <c r="V26" s="895">
        <f t="shared" si="21"/>
        <v>12327649.245591881</v>
      </c>
      <c r="W26" s="895">
        <f t="shared" si="21"/>
        <v>2166563</v>
      </c>
      <c r="X26" s="895">
        <f t="shared" si="21"/>
        <v>740518.22222222236</v>
      </c>
      <c r="Y26" s="895"/>
      <c r="Z26" s="895"/>
      <c r="AA26" s="895"/>
      <c r="AB26" s="895"/>
      <c r="AC26" s="895"/>
      <c r="AD26" s="895"/>
      <c r="AE26" s="895"/>
      <c r="AF26" s="895"/>
      <c r="AG26" s="895"/>
      <c r="AH26" s="895"/>
      <c r="AI26" s="895"/>
      <c r="AJ26" s="895"/>
      <c r="AK26" s="895"/>
      <c r="AL26" s="895"/>
      <c r="AM26" s="895"/>
      <c r="AN26" s="895"/>
      <c r="AO26" s="895"/>
      <c r="AP26" s="895"/>
      <c r="AQ26" s="895"/>
      <c r="AR26" s="186"/>
      <c r="AS26" s="233"/>
      <c r="AT26" s="233"/>
      <c r="AU26" s="233"/>
      <c r="AV26" s="187">
        <f>SUM(AV5:AV25)</f>
        <v>146310379.92643121</v>
      </c>
      <c r="AW26" s="173">
        <f>SUM(AW5:AW25)</f>
        <v>146310379.454209</v>
      </c>
      <c r="AX26" s="168"/>
      <c r="AY26"/>
      <c r="AZ26"/>
    </row>
    <row r="27" spans="1:52" ht="14.45">
      <c r="A27" s="170" t="s">
        <v>360</v>
      </c>
      <c r="B27" s="226">
        <f>'C Financial'!B75</f>
        <v>0</v>
      </c>
      <c r="C27" s="823"/>
      <c r="D27" s="823"/>
      <c r="E27" s="823"/>
      <c r="F27" s="823"/>
      <c r="G27" s="823"/>
      <c r="H27" s="823"/>
      <c r="I27" s="823"/>
      <c r="J27" s="823"/>
      <c r="K27" s="823"/>
      <c r="L27" s="823"/>
      <c r="M27" s="823"/>
      <c r="N27" s="823"/>
      <c r="O27" s="823"/>
      <c r="P27" s="823"/>
      <c r="Q27" s="823"/>
      <c r="R27" s="823"/>
      <c r="S27" s="823"/>
      <c r="T27" s="823"/>
      <c r="U27" s="823"/>
      <c r="V27" s="823"/>
      <c r="W27" s="823"/>
      <c r="X27" s="823"/>
      <c r="Y27" s="823"/>
      <c r="Z27" s="823"/>
      <c r="AA27" s="823"/>
      <c r="AB27" s="823"/>
      <c r="AC27" s="823"/>
      <c r="AD27" s="823"/>
      <c r="AE27" s="823"/>
      <c r="AF27" s="823"/>
      <c r="AG27" s="823"/>
      <c r="AH27" s="823"/>
      <c r="AI27" s="823"/>
      <c r="AJ27" s="823"/>
      <c r="AK27" s="823"/>
      <c r="AL27" s="823"/>
      <c r="AM27" s="823"/>
      <c r="AN27" s="823"/>
      <c r="AO27" s="823"/>
      <c r="AP27" s="823"/>
      <c r="AQ27" s="823"/>
      <c r="AR27" s="823"/>
      <c r="AS27" s="823"/>
      <c r="AT27" s="823"/>
      <c r="AU27" s="823"/>
      <c r="AV27" s="896"/>
      <c r="AW27" s="823"/>
      <c r="AX27" s="168"/>
      <c r="AY27"/>
      <c r="AZ27"/>
    </row>
    <row r="28" spans="1:52" ht="15" thickBot="1">
      <c r="A28" s="800" t="s">
        <v>361</v>
      </c>
      <c r="B28" s="897">
        <f>B26+B27</f>
        <v>146310379.454209</v>
      </c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  <c r="N28" s="815"/>
      <c r="O28" s="815"/>
      <c r="P28" s="815"/>
      <c r="Q28" s="815"/>
      <c r="R28" s="815"/>
      <c r="S28" s="815"/>
      <c r="T28" s="815"/>
      <c r="U28" s="815"/>
      <c r="V28" s="815"/>
      <c r="W28" s="815"/>
      <c r="X28" s="815"/>
      <c r="Y28" s="815"/>
      <c r="Z28" s="813"/>
      <c r="AA28" s="813"/>
      <c r="AB28" s="813"/>
      <c r="AC28" s="813"/>
      <c r="AD28" s="813"/>
      <c r="AE28" s="813"/>
      <c r="AF28" s="813"/>
      <c r="AG28" s="813"/>
      <c r="AH28" s="815"/>
      <c r="AI28" s="815"/>
      <c r="AJ28" s="815"/>
      <c r="AK28" s="815"/>
      <c r="AL28" s="815"/>
      <c r="AM28" s="815"/>
      <c r="AN28" s="815"/>
      <c r="AO28" s="815"/>
      <c r="AP28" s="815"/>
      <c r="AQ28" s="815"/>
      <c r="AR28" s="815"/>
      <c r="AS28" s="815"/>
      <c r="AT28" s="815"/>
      <c r="AU28" s="815"/>
      <c r="AV28" s="815"/>
      <c r="AW28" s="815"/>
      <c r="AX28" s="802"/>
      <c r="AY28"/>
      <c r="AZ28"/>
    </row>
    <row r="29" spans="1:52" ht="14.45">
      <c r="A29" s="803" t="s">
        <v>362</v>
      </c>
      <c r="B29" s="804">
        <f>SUM(C29:AR29)</f>
        <v>44052000</v>
      </c>
      <c r="C29" s="785">
        <f>C26</f>
        <v>0</v>
      </c>
      <c r="D29" s="785">
        <f t="shared" ref="D29:X29" si="22">IF(C30+D26&lt;=$B$30,D26,($B$30-C30))</f>
        <v>0</v>
      </c>
      <c r="E29" s="785">
        <f t="shared" si="22"/>
        <v>1318602.9649999999</v>
      </c>
      <c r="F29" s="785">
        <f t="shared" si="22"/>
        <v>918602.96499999997</v>
      </c>
      <c r="G29" s="785">
        <f t="shared" si="22"/>
        <v>322867.65499999997</v>
      </c>
      <c r="H29" s="785">
        <f t="shared" si="22"/>
        <v>3561627.0838674079</v>
      </c>
      <c r="I29" s="785">
        <f t="shared" si="22"/>
        <v>196433.82749999998</v>
      </c>
      <c r="J29" s="785">
        <f t="shared" si="22"/>
        <v>996660.04299999995</v>
      </c>
      <c r="K29" s="785">
        <f t="shared" si="22"/>
        <v>7156409.3904126128</v>
      </c>
      <c r="L29" s="785">
        <f t="shared" si="22"/>
        <v>7896727.5304126125</v>
      </c>
      <c r="M29" s="785">
        <f t="shared" si="22"/>
        <v>5679539.3904126128</v>
      </c>
      <c r="N29" s="785">
        <f t="shared" si="22"/>
        <v>8532040.6604126133</v>
      </c>
      <c r="O29" s="785">
        <f t="shared" si="22"/>
        <v>7472488.488982141</v>
      </c>
      <c r="P29" s="785">
        <f t="shared" si="22"/>
        <v>0</v>
      </c>
      <c r="Q29" s="785">
        <f t="shared" si="22"/>
        <v>0</v>
      </c>
      <c r="R29" s="785">
        <f t="shared" si="22"/>
        <v>0</v>
      </c>
      <c r="S29" s="785">
        <f t="shared" si="22"/>
        <v>0</v>
      </c>
      <c r="T29" s="785">
        <f t="shared" si="22"/>
        <v>0</v>
      </c>
      <c r="U29" s="785">
        <f t="shared" si="22"/>
        <v>0</v>
      </c>
      <c r="V29" s="785">
        <f t="shared" si="22"/>
        <v>0</v>
      </c>
      <c r="W29" s="785">
        <f t="shared" si="22"/>
        <v>0</v>
      </c>
      <c r="X29" s="785">
        <f t="shared" si="22"/>
        <v>0</v>
      </c>
      <c r="Y29" s="785"/>
      <c r="Z29" s="785"/>
      <c r="AA29" s="785"/>
      <c r="AB29" s="785"/>
      <c r="AC29" s="785"/>
      <c r="AD29" s="785"/>
      <c r="AE29" s="785"/>
      <c r="AF29" s="785"/>
      <c r="AG29" s="785"/>
      <c r="AH29" s="785"/>
      <c r="AI29" s="785"/>
      <c r="AJ29" s="785"/>
      <c r="AK29" s="785"/>
      <c r="AL29" s="785"/>
      <c r="AM29" s="785"/>
      <c r="AN29" s="785"/>
      <c r="AO29" s="785"/>
      <c r="AP29" s="785"/>
      <c r="AQ29" s="785"/>
      <c r="AR29" s="785"/>
      <c r="AS29" s="805"/>
      <c r="AT29" s="805"/>
      <c r="AU29" s="805"/>
      <c r="AV29" s="805"/>
      <c r="AW29" s="805"/>
      <c r="AX29" s="805"/>
      <c r="AY29"/>
      <c r="AZ29"/>
    </row>
    <row r="30" spans="1:52" ht="15" thickBot="1">
      <c r="A30" s="174" t="s">
        <v>363</v>
      </c>
      <c r="B30" s="806">
        <f>'C Financial'!B78</f>
        <v>44052000</v>
      </c>
      <c r="C30" s="785">
        <f>C29</f>
        <v>0</v>
      </c>
      <c r="D30" s="785">
        <f>IF(SUM($C$29:D29)&lt;=$B30,SUM($C$29:D29),0)</f>
        <v>0</v>
      </c>
      <c r="E30" s="785">
        <f>IF(SUM($C$29:E29)&lt;=$B30,SUM($C$29:E29),0)</f>
        <v>1318602.9649999999</v>
      </c>
      <c r="F30" s="785">
        <f>IF(SUM($C$29:F29)&lt;=$B30,SUM($C$29:F29),0)</f>
        <v>2237205.9299999997</v>
      </c>
      <c r="G30" s="785">
        <f>IF(SUM($C$29:G29)&lt;=$B30,SUM($C$29:G29),0)</f>
        <v>2560073.5849999995</v>
      </c>
      <c r="H30" s="785">
        <f>IF(SUM($C$29:H29)&lt;=$B30,SUM($C$29:H29),0)</f>
        <v>6121700.6688674074</v>
      </c>
      <c r="I30" s="785">
        <f>IF(SUM($C$29:I29)&lt;=$B30,SUM($C$29:I29),0)</f>
        <v>6318134.496367407</v>
      </c>
      <c r="J30" s="785">
        <f>IF(SUM($C$29:J29)&lt;=$B30,SUM($C$29:J29),0)</f>
        <v>7314794.5393674066</v>
      </c>
      <c r="K30" s="785">
        <f>IF(SUM($C$29:K29)&lt;=$B30,SUM($C$29:K29),0)</f>
        <v>14471203.929780019</v>
      </c>
      <c r="L30" s="785">
        <f>IF(SUM($C$29:L29)&lt;=$B30,SUM($C$29:L29),0)</f>
        <v>22367931.460192632</v>
      </c>
      <c r="M30" s="785">
        <f>IF(SUM($C$29:M29)&lt;=$B30,SUM($C$29:M29),0)</f>
        <v>28047470.850605246</v>
      </c>
      <c r="N30" s="785">
        <f>IF(SUM($C$29:N29)&lt;=$B30,SUM($C$29:N29),0)</f>
        <v>36579511.511017859</v>
      </c>
      <c r="O30" s="785">
        <f>IF(SUM($C$29:O29)&lt;=$B30,SUM($C$29:O29),0)</f>
        <v>44052000</v>
      </c>
      <c r="P30" s="785">
        <f>IF(SUM($C$29:P29)&lt;=$B30,SUM($C$29:P29),0)</f>
        <v>44052000</v>
      </c>
      <c r="Q30" s="785">
        <f>IF(SUM($C$29:Q29)&lt;=$B30,SUM($C$29:Q29),0)</f>
        <v>44052000</v>
      </c>
      <c r="R30" s="785">
        <f>IF(SUM($C$29:R29)&lt;=$B30,SUM($C$29:R29),0)</f>
        <v>44052000</v>
      </c>
      <c r="S30" s="785">
        <f>IF(SUM($C$29:S29)&lt;=$B30,SUM($C$29:S29),0)</f>
        <v>44052000</v>
      </c>
      <c r="T30" s="785">
        <f>IF(SUM($C$29:T29)&lt;=$B30,SUM($C$29:T29),0)</f>
        <v>44052000</v>
      </c>
      <c r="U30" s="785">
        <f>IF(SUM($C$29:U29)&lt;=$B30,SUM($C$29:U29),0)</f>
        <v>44052000</v>
      </c>
      <c r="V30" s="785">
        <f>IF(SUM($C$29:V29)&lt;=$B30,SUM($C$29:V29),0)</f>
        <v>44052000</v>
      </c>
      <c r="W30" s="785">
        <f>IF(SUM($C$29:W29)&lt;=$B30,SUM($C$29:W29),0)</f>
        <v>44052000</v>
      </c>
      <c r="X30" s="824">
        <f>IF(SUM($C$29:X29)&lt;=$B30,SUM($C$29:X29),0)</f>
        <v>44052000</v>
      </c>
      <c r="Y30" s="785"/>
      <c r="Z30" s="785"/>
      <c r="AA30" s="785"/>
      <c r="AB30" s="785"/>
      <c r="AC30" s="785"/>
      <c r="AD30" s="785"/>
      <c r="AE30" s="785"/>
      <c r="AF30" s="785"/>
      <c r="AG30" s="785"/>
      <c r="AH30" s="785"/>
      <c r="AI30" s="785"/>
      <c r="AJ30" s="785"/>
      <c r="AK30" s="785"/>
      <c r="AL30" s="785"/>
      <c r="AM30" s="785"/>
      <c r="AN30" s="785"/>
      <c r="AO30" s="785"/>
      <c r="AP30" s="785"/>
      <c r="AQ30" s="785"/>
      <c r="AR30" s="785"/>
      <c r="AS30" s="805"/>
      <c r="AT30" s="805"/>
      <c r="AU30" s="805"/>
      <c r="AV30" s="805"/>
      <c r="AW30" s="805"/>
      <c r="AX30" s="805"/>
      <c r="AY30"/>
      <c r="AZ30"/>
    </row>
    <row r="31" spans="1:52" ht="14.45">
      <c r="A31" s="175" t="s">
        <v>364</v>
      </c>
      <c r="B31" s="176">
        <f>'C Financial'!B77</f>
        <v>102788000</v>
      </c>
      <c r="C31" s="807"/>
      <c r="D31" s="808"/>
      <c r="E31" s="808"/>
      <c r="F31" s="808"/>
      <c r="G31" s="808"/>
      <c r="H31" s="808"/>
      <c r="I31" s="808"/>
      <c r="J31" s="808"/>
      <c r="K31" s="808"/>
      <c r="L31" s="808"/>
      <c r="M31" s="808"/>
      <c r="N31" s="808"/>
      <c r="O31" s="808"/>
      <c r="P31" s="808"/>
      <c r="Q31" s="808"/>
      <c r="R31" s="808"/>
      <c r="S31" s="808"/>
      <c r="T31" s="808"/>
      <c r="U31" s="808"/>
      <c r="V31" s="808"/>
      <c r="W31" s="808"/>
      <c r="X31" s="808"/>
      <c r="Y31" s="808"/>
      <c r="Z31" s="808"/>
      <c r="AA31" s="808"/>
      <c r="AB31" s="808"/>
      <c r="AC31" s="808"/>
      <c r="AD31" s="808"/>
      <c r="AE31" s="808"/>
      <c r="AF31" s="808"/>
      <c r="AG31" s="808"/>
      <c r="AH31" s="808"/>
      <c r="AI31" s="808"/>
      <c r="AJ31" s="808"/>
      <c r="AK31" s="808"/>
      <c r="AL31" s="808"/>
      <c r="AM31" s="808"/>
      <c r="AN31" s="808"/>
      <c r="AO31" s="808"/>
      <c r="AP31" s="808"/>
      <c r="AQ31" s="808"/>
      <c r="AR31" s="808"/>
      <c r="AS31" s="807"/>
      <c r="AT31" s="807"/>
      <c r="AU31" s="807"/>
      <c r="AV31" s="807"/>
      <c r="AW31" s="807"/>
      <c r="AX31" s="805"/>
      <c r="AY31"/>
      <c r="AZ31"/>
    </row>
    <row r="32" spans="1:52" ht="15" thickBot="1">
      <c r="A32" s="809" t="s">
        <v>365</v>
      </c>
      <c r="B32" s="810">
        <f>PMT(0.045,30,(B31))</f>
        <v>-6310313.9124884726</v>
      </c>
      <c r="C32" s="807"/>
      <c r="D32" s="808"/>
      <c r="E32" s="808"/>
      <c r="F32" s="808"/>
      <c r="G32" s="808"/>
      <c r="H32" s="808"/>
      <c r="I32" s="808"/>
      <c r="J32" s="808"/>
      <c r="K32" s="808"/>
      <c r="L32" s="808"/>
      <c r="M32" s="808"/>
      <c r="N32" s="808"/>
      <c r="O32" s="808"/>
      <c r="P32" s="808"/>
      <c r="Q32" s="808"/>
      <c r="R32" s="808"/>
      <c r="S32" s="808"/>
      <c r="T32" s="808"/>
      <c r="U32" s="808"/>
      <c r="V32" s="808"/>
      <c r="W32" s="808"/>
      <c r="X32" s="808"/>
      <c r="Y32" s="808"/>
      <c r="Z32" s="808"/>
      <c r="AA32" s="808"/>
      <c r="AB32" s="808"/>
      <c r="AC32" s="808"/>
      <c r="AD32" s="808"/>
      <c r="AE32" s="808"/>
      <c r="AF32" s="808"/>
      <c r="AG32" s="808"/>
      <c r="AH32" s="808"/>
      <c r="AI32" s="808"/>
      <c r="AJ32" s="808"/>
      <c r="AK32" s="808"/>
      <c r="AL32" s="808"/>
      <c r="AM32" s="808"/>
      <c r="AN32" s="808"/>
      <c r="AO32" s="808"/>
      <c r="AP32" s="808"/>
      <c r="AQ32" s="808"/>
      <c r="AR32" s="808"/>
      <c r="AS32" s="807"/>
      <c r="AT32" s="807"/>
      <c r="AU32" s="807"/>
      <c r="AV32" s="807"/>
      <c r="AW32" s="807"/>
      <c r="AX32" s="805"/>
      <c r="AY32"/>
      <c r="AZ32"/>
    </row>
    <row r="33" spans="1:52" ht="14.45">
      <c r="A33" s="177" t="s">
        <v>366</v>
      </c>
      <c r="B33" s="178">
        <f>SUM(C33:AV33)</f>
        <v>0</v>
      </c>
      <c r="C33" s="785"/>
      <c r="D33" s="785"/>
      <c r="E33" s="785"/>
      <c r="F33" s="785"/>
      <c r="G33" s="785"/>
      <c r="H33" s="785"/>
      <c r="I33" s="785"/>
      <c r="J33" s="785"/>
      <c r="K33" s="785"/>
      <c r="L33" s="785"/>
      <c r="M33" s="785"/>
      <c r="N33" s="785"/>
      <c r="O33" s="785"/>
      <c r="P33" s="785"/>
      <c r="Q33" s="785"/>
      <c r="R33" s="785"/>
      <c r="S33" s="785"/>
      <c r="T33" s="785"/>
      <c r="U33" s="785"/>
      <c r="V33" s="785"/>
      <c r="W33" s="785"/>
      <c r="X33" s="785"/>
      <c r="Y33" s="785"/>
      <c r="Z33" s="785"/>
      <c r="AA33" s="785"/>
      <c r="AB33" s="785"/>
      <c r="AC33" s="785"/>
      <c r="AD33" s="785"/>
      <c r="AE33" s="785"/>
      <c r="AF33" s="785"/>
      <c r="AG33" s="785"/>
      <c r="AH33" s="785"/>
      <c r="AI33" s="785"/>
      <c r="AJ33" s="785"/>
      <c r="AK33" s="785"/>
      <c r="AL33" s="785"/>
      <c r="AM33" s="785"/>
      <c r="AN33" s="785"/>
      <c r="AO33" s="785"/>
      <c r="AP33" s="785"/>
      <c r="AQ33" s="785"/>
      <c r="AR33" s="785"/>
      <c r="AS33" s="785"/>
      <c r="AT33" s="785"/>
      <c r="AU33" s="785"/>
      <c r="AV33" s="813"/>
      <c r="AW33" s="807"/>
      <c r="AX33" s="805"/>
      <c r="AY33"/>
      <c r="AZ33"/>
    </row>
    <row r="34" spans="1:52" ht="14.45">
      <c r="A34" s="811" t="s">
        <v>367</v>
      </c>
      <c r="B34" s="812"/>
      <c r="C34" s="785"/>
      <c r="D34" s="785"/>
      <c r="E34" s="785"/>
      <c r="F34" s="785"/>
      <c r="G34" s="785"/>
      <c r="H34" s="785"/>
      <c r="I34" s="785"/>
      <c r="J34" s="785"/>
      <c r="K34" s="785"/>
      <c r="L34" s="785"/>
      <c r="M34" s="785"/>
      <c r="N34" s="785"/>
      <c r="O34" s="785"/>
      <c r="P34" s="785"/>
      <c r="Q34" s="785"/>
      <c r="R34" s="785"/>
      <c r="S34" s="785"/>
      <c r="T34" s="785"/>
      <c r="U34" s="785"/>
      <c r="V34" s="785"/>
      <c r="W34" s="785"/>
      <c r="X34" s="785"/>
      <c r="Y34" s="785"/>
      <c r="Z34" s="785"/>
      <c r="AA34" s="785"/>
      <c r="AB34" s="785"/>
      <c r="AC34" s="785"/>
      <c r="AD34" s="785"/>
      <c r="AE34" s="785"/>
      <c r="AF34" s="785"/>
      <c r="AG34" s="785"/>
      <c r="AH34" s="785"/>
      <c r="AI34" s="785"/>
      <c r="AJ34" s="785"/>
      <c r="AK34" s="785"/>
      <c r="AL34" s="785"/>
      <c r="AM34" s="785"/>
      <c r="AN34" s="785"/>
      <c r="AO34" s="785"/>
      <c r="AP34" s="785"/>
      <c r="AQ34" s="785"/>
      <c r="AR34" s="785"/>
      <c r="AS34" s="83"/>
      <c r="AT34" s="83"/>
      <c r="AU34" s="83"/>
      <c r="AV34" s="813"/>
      <c r="AW34" s="808"/>
      <c r="AX34" s="805"/>
      <c r="AY34"/>
      <c r="AZ34"/>
    </row>
    <row r="35" spans="1:52" ht="14.45">
      <c r="A35" s="803" t="s">
        <v>368</v>
      </c>
      <c r="B35" s="804">
        <f>'C Financial'!B85+'C Financial'!B86</f>
        <v>103795200</v>
      </c>
      <c r="C35" s="813"/>
      <c r="D35" s="814"/>
      <c r="E35" s="814"/>
      <c r="F35" s="814"/>
      <c r="G35" s="814"/>
      <c r="H35" s="814"/>
      <c r="I35" s="814"/>
      <c r="J35" s="814"/>
      <c r="K35" s="814"/>
      <c r="L35" s="814"/>
      <c r="M35" s="814"/>
      <c r="N35" s="814"/>
      <c r="O35" s="814"/>
      <c r="P35" s="814"/>
      <c r="Q35" s="814"/>
      <c r="R35" s="814"/>
      <c r="S35" s="814"/>
      <c r="T35" s="814"/>
      <c r="U35" s="814"/>
      <c r="V35" s="814"/>
      <c r="W35" s="814"/>
      <c r="X35" s="814"/>
      <c r="Y35" s="814"/>
      <c r="Z35" s="814"/>
      <c r="AA35" s="814"/>
      <c r="AB35" s="814"/>
      <c r="AC35" s="814"/>
      <c r="AD35" s="814"/>
      <c r="AE35" s="814"/>
      <c r="AF35" s="814"/>
      <c r="AG35" s="898"/>
      <c r="AH35" s="814"/>
      <c r="AI35" s="814"/>
      <c r="AJ35" s="814"/>
      <c r="AK35" s="814"/>
      <c r="AL35" s="814"/>
      <c r="AM35" s="814"/>
      <c r="AN35" s="814"/>
      <c r="AO35" s="814"/>
      <c r="AP35" s="814"/>
      <c r="AQ35" s="814"/>
      <c r="AR35" s="814"/>
      <c r="AS35" s="234"/>
      <c r="AT35" s="234"/>
      <c r="AU35" s="234"/>
      <c r="AV35" s="815"/>
      <c r="AW35" s="816"/>
      <c r="AX35" s="817"/>
      <c r="AY35"/>
      <c r="AZ35"/>
    </row>
    <row r="36" spans="1:52" ht="14.45">
      <c r="A36" s="803" t="s">
        <v>406</v>
      </c>
      <c r="B36" s="818">
        <f>SUM(C36:AU36)</f>
        <v>59743200</v>
      </c>
      <c r="C36" s="819">
        <f t="shared" ref="C36:W36" si="23">-C29</f>
        <v>0</v>
      </c>
      <c r="D36" s="819">
        <f t="shared" si="23"/>
        <v>0</v>
      </c>
      <c r="E36" s="819">
        <f t="shared" si="23"/>
        <v>-1318602.9649999999</v>
      </c>
      <c r="F36" s="819">
        <f t="shared" si="23"/>
        <v>-918602.96499999997</v>
      </c>
      <c r="G36" s="819">
        <f t="shared" si="23"/>
        <v>-322867.65499999997</v>
      </c>
      <c r="H36" s="819">
        <f t="shared" si="23"/>
        <v>-3561627.0838674079</v>
      </c>
      <c r="I36" s="819">
        <f t="shared" si="23"/>
        <v>-196433.82749999998</v>
      </c>
      <c r="J36" s="819">
        <f t="shared" si="23"/>
        <v>-996660.04299999995</v>
      </c>
      <c r="K36" s="819">
        <f t="shared" si="23"/>
        <v>-7156409.3904126128</v>
      </c>
      <c r="L36" s="819">
        <f t="shared" si="23"/>
        <v>-7896727.5304126125</v>
      </c>
      <c r="M36" s="819">
        <f t="shared" si="23"/>
        <v>-5679539.3904126128</v>
      </c>
      <c r="N36" s="819">
        <f t="shared" si="23"/>
        <v>-8532040.6604126133</v>
      </c>
      <c r="O36" s="819">
        <f t="shared" si="23"/>
        <v>-7472488.488982141</v>
      </c>
      <c r="P36" s="819">
        <f t="shared" si="23"/>
        <v>0</v>
      </c>
      <c r="Q36" s="819">
        <f t="shared" si="23"/>
        <v>0</v>
      </c>
      <c r="R36" s="819">
        <f t="shared" si="23"/>
        <v>0</v>
      </c>
      <c r="S36" s="819">
        <f t="shared" si="23"/>
        <v>0</v>
      </c>
      <c r="T36" s="819">
        <f t="shared" si="23"/>
        <v>0</v>
      </c>
      <c r="U36" s="819">
        <f t="shared" si="23"/>
        <v>0</v>
      </c>
      <c r="V36" s="819">
        <f t="shared" si="23"/>
        <v>0</v>
      </c>
      <c r="W36" s="819">
        <f t="shared" si="23"/>
        <v>0</v>
      </c>
      <c r="X36" s="820">
        <f>B35</f>
        <v>103795200</v>
      </c>
      <c r="Y36" s="819"/>
      <c r="Z36" s="819"/>
      <c r="AA36" s="819"/>
      <c r="AB36" s="819"/>
      <c r="AC36" s="819"/>
      <c r="AD36" s="819"/>
      <c r="AE36" s="819"/>
      <c r="AF36" s="819"/>
      <c r="AG36" s="819"/>
      <c r="AH36" s="819"/>
      <c r="AI36" s="819"/>
      <c r="AJ36" s="819"/>
      <c r="AK36" s="180"/>
      <c r="AL36" s="899"/>
      <c r="AM36" s="899"/>
      <c r="AN36" s="899"/>
      <c r="AO36" s="899"/>
      <c r="AP36" s="899"/>
      <c r="AQ36" s="899"/>
      <c r="AR36" s="899"/>
      <c r="AS36" s="235"/>
      <c r="AT36" s="235"/>
      <c r="AU36" s="235"/>
      <c r="AV36" s="181"/>
      <c r="AW36" s="819"/>
      <c r="AX36" s="785"/>
      <c r="AY36"/>
      <c r="AZ36"/>
    </row>
    <row r="37" spans="1:52" ht="14.45">
      <c r="A37" s="803" t="s">
        <v>370</v>
      </c>
      <c r="B37" s="822">
        <f>IF(B36&lt;0,0,IRR(C36:AIW36))</f>
        <v>7.3202100934558478E-2</v>
      </c>
      <c r="C37" s="823"/>
      <c r="D37" s="823"/>
      <c r="E37" s="823"/>
      <c r="F37" s="823"/>
      <c r="G37" s="823"/>
      <c r="H37" s="823"/>
      <c r="I37" s="823"/>
      <c r="J37" s="823"/>
      <c r="K37" s="823"/>
      <c r="L37" s="823"/>
      <c r="M37" s="823"/>
      <c r="N37" s="823"/>
      <c r="O37" s="823"/>
      <c r="P37" s="823"/>
      <c r="Q37" s="823"/>
      <c r="R37" s="823"/>
      <c r="S37" s="823"/>
      <c r="T37" s="823"/>
      <c r="U37" s="823"/>
      <c r="V37" s="823"/>
      <c r="W37" s="823"/>
      <c r="X37" s="823"/>
      <c r="Y37" s="823"/>
      <c r="Z37" s="823"/>
      <c r="AA37" s="823"/>
      <c r="AB37" s="823"/>
      <c r="AC37" s="823"/>
      <c r="AD37" s="823"/>
      <c r="AE37" s="823"/>
      <c r="AF37" s="823"/>
      <c r="AG37" s="823"/>
      <c r="AH37" s="823"/>
      <c r="AI37" s="823"/>
      <c r="AJ37" s="823"/>
      <c r="AK37" s="823"/>
      <c r="AL37" s="823"/>
      <c r="AM37" s="823"/>
      <c r="AN37" s="823"/>
      <c r="AO37" s="823"/>
      <c r="AP37" s="823"/>
      <c r="AQ37" s="823"/>
      <c r="AR37" s="823"/>
      <c r="AS37" s="823"/>
      <c r="AT37" s="823"/>
      <c r="AU37" s="823"/>
      <c r="AV37" s="815"/>
      <c r="AW37" s="823"/>
      <c r="AX37" s="824"/>
      <c r="AY37"/>
      <c r="AZ37"/>
    </row>
    <row r="38" spans="1:52" ht="14.45">
      <c r="A38" s="793" t="s">
        <v>371</v>
      </c>
      <c r="B38" s="900">
        <f>POWER((1+B37),4)-1</f>
        <v>0.32655743102143009</v>
      </c>
      <c r="C38" s="815"/>
      <c r="D38" s="815"/>
      <c r="E38" s="826"/>
      <c r="F38" s="826"/>
      <c r="G38" s="826"/>
      <c r="H38" s="826"/>
      <c r="I38" s="826"/>
      <c r="J38" s="826"/>
      <c r="K38" s="826"/>
      <c r="L38" s="826"/>
      <c r="M38" s="826"/>
      <c r="N38" s="826"/>
      <c r="O38" s="826"/>
      <c r="P38" s="827"/>
      <c r="Q38" s="826"/>
      <c r="R38" s="826"/>
      <c r="S38" s="826"/>
      <c r="T38" s="826"/>
      <c r="U38" s="826"/>
      <c r="V38" s="827"/>
      <c r="W38" s="826"/>
      <c r="X38" s="826"/>
      <c r="Y38" s="826"/>
      <c r="Z38" s="826"/>
      <c r="AA38" s="826"/>
      <c r="AB38" s="826"/>
      <c r="AC38" s="826"/>
      <c r="AD38" s="826"/>
      <c r="AE38" s="826"/>
      <c r="AF38" s="826"/>
      <c r="AG38" s="826"/>
      <c r="AH38" s="826"/>
      <c r="AI38" s="826"/>
      <c r="AJ38" s="826"/>
      <c r="AK38" s="826"/>
      <c r="AL38" s="826"/>
      <c r="AM38" s="826"/>
      <c r="AN38" s="826"/>
      <c r="AO38" s="826"/>
      <c r="AP38" s="826"/>
      <c r="AQ38" s="826"/>
      <c r="AR38" s="901"/>
      <c r="AS38" s="901"/>
      <c r="AT38" s="901"/>
      <c r="AU38" s="901"/>
      <c r="AV38" s="826"/>
      <c r="AW38" s="826"/>
      <c r="AX38" s="828"/>
      <c r="AY38"/>
      <c r="AZ38"/>
    </row>
    <row r="39" spans="1:52">
      <c r="A39" s="902" t="s">
        <v>372</v>
      </c>
      <c r="B39" s="811"/>
      <c r="C39" s="815"/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15"/>
      <c r="P39" s="815"/>
      <c r="Q39" s="815"/>
      <c r="R39" s="815"/>
      <c r="S39" s="815"/>
      <c r="T39" s="815"/>
      <c r="U39" s="815"/>
      <c r="V39" s="815"/>
      <c r="W39" s="815"/>
      <c r="X39" s="815"/>
      <c r="Y39" s="815"/>
      <c r="Z39" s="815"/>
      <c r="AA39" s="815"/>
      <c r="AB39" s="815"/>
      <c r="AC39" s="815"/>
      <c r="AD39" s="815"/>
      <c r="AE39" s="815"/>
      <c r="AF39" s="815"/>
      <c r="AG39" s="815"/>
      <c r="AH39" s="815"/>
      <c r="AI39" s="815"/>
      <c r="AJ39" s="815"/>
      <c r="AK39" s="815"/>
      <c r="AL39" s="815"/>
      <c r="AM39" s="815"/>
      <c r="AN39" s="815"/>
      <c r="AO39" s="815"/>
      <c r="AP39" s="815"/>
      <c r="AQ39" s="815"/>
      <c r="AR39" s="815"/>
      <c r="AS39" s="815"/>
      <c r="AT39" s="815"/>
      <c r="AU39" s="815"/>
      <c r="AV39" s="815"/>
      <c r="AW39" s="815"/>
      <c r="AX39" s="793"/>
    </row>
    <row r="40" spans="1:52">
      <c r="A40" s="803" t="s">
        <v>373</v>
      </c>
      <c r="B40" s="903">
        <f>'C Financial'!B85-B27</f>
        <v>206583200</v>
      </c>
      <c r="C40" s="815"/>
      <c r="D40" s="815"/>
      <c r="E40" s="815"/>
      <c r="F40" s="815"/>
      <c r="G40" s="815"/>
      <c r="H40" s="815"/>
      <c r="I40" s="815"/>
      <c r="J40" s="815"/>
      <c r="K40" s="815"/>
      <c r="L40" s="815"/>
      <c r="M40" s="808"/>
      <c r="N40" s="815"/>
      <c r="O40" s="815"/>
      <c r="P40" s="815"/>
      <c r="Q40" s="815"/>
      <c r="R40" s="815"/>
      <c r="S40" s="808"/>
      <c r="T40" s="815"/>
      <c r="U40" s="815"/>
      <c r="V40" s="815"/>
      <c r="W40" s="815"/>
      <c r="X40" s="815"/>
      <c r="Y40" s="815"/>
      <c r="Z40" s="815"/>
      <c r="AA40" s="815"/>
      <c r="AB40" s="815"/>
      <c r="AC40" s="815"/>
      <c r="AD40" s="815"/>
      <c r="AE40" s="815"/>
      <c r="AF40" s="815"/>
      <c r="AG40" s="815"/>
      <c r="AH40" s="815"/>
      <c r="AI40" s="815"/>
      <c r="AJ40" s="815"/>
      <c r="AK40" s="815"/>
      <c r="AL40" s="815"/>
      <c r="AM40" s="815"/>
      <c r="AN40" s="815"/>
      <c r="AO40" s="815"/>
      <c r="AP40" s="815"/>
      <c r="AQ40" s="815"/>
      <c r="AR40" s="815"/>
      <c r="AS40" s="815"/>
      <c r="AT40" s="815"/>
      <c r="AU40" s="815"/>
      <c r="AV40" s="815"/>
      <c r="AW40" s="815"/>
      <c r="AX40" s="793"/>
    </row>
    <row r="41" spans="1:52">
      <c r="A41" s="803" t="s">
        <v>374</v>
      </c>
      <c r="B41" s="818">
        <f>SUM(C41:AU41)</f>
        <v>60272820.073568791</v>
      </c>
      <c r="C41" s="785">
        <f>-C26</f>
        <v>0</v>
      </c>
      <c r="D41" s="785">
        <f t="shared" ref="D41:W41" si="24">-D26</f>
        <v>0</v>
      </c>
      <c r="E41" s="785">
        <f t="shared" si="24"/>
        <v>-1318602.9649999999</v>
      </c>
      <c r="F41" s="785">
        <f t="shared" si="24"/>
        <v>-918602.96499999997</v>
      </c>
      <c r="G41" s="785">
        <f t="shared" si="24"/>
        <v>-322867.65499999997</v>
      </c>
      <c r="H41" s="785">
        <f t="shared" si="24"/>
        <v>-3561627.0838674079</v>
      </c>
      <c r="I41" s="785">
        <f t="shared" si="24"/>
        <v>-196433.82749999998</v>
      </c>
      <c r="J41" s="785">
        <f t="shared" si="24"/>
        <v>-996660.04299999995</v>
      </c>
      <c r="K41" s="785">
        <f t="shared" si="24"/>
        <v>-7156409.3904126128</v>
      </c>
      <c r="L41" s="785">
        <f t="shared" si="24"/>
        <v>-7896727.5304126125</v>
      </c>
      <c r="M41" s="785">
        <f t="shared" si="24"/>
        <v>-5679539.3904126128</v>
      </c>
      <c r="N41" s="785">
        <f t="shared" si="24"/>
        <v>-8532040.6604126133</v>
      </c>
      <c r="O41" s="785">
        <f t="shared" si="24"/>
        <v>-14404664.6573309</v>
      </c>
      <c r="P41" s="785">
        <f t="shared" si="24"/>
        <v>-15058142.1773309</v>
      </c>
      <c r="Q41" s="785">
        <f t="shared" si="24"/>
        <v>-14653078.9073309</v>
      </c>
      <c r="R41" s="785">
        <f t="shared" si="24"/>
        <v>-15306556.4273309</v>
      </c>
      <c r="S41" s="785">
        <f t="shared" si="24"/>
        <v>-11925785.603091881</v>
      </c>
      <c r="T41" s="785">
        <f t="shared" si="24"/>
        <v>-11898498.837591881</v>
      </c>
      <c r="U41" s="785">
        <f t="shared" si="24"/>
        <v>-11249411.337591881</v>
      </c>
      <c r="V41" s="785">
        <f t="shared" si="24"/>
        <v>-12327649.245591881</v>
      </c>
      <c r="W41" s="785">
        <f t="shared" si="24"/>
        <v>-2166563</v>
      </c>
      <c r="X41" s="824">
        <f>-X26+B40</f>
        <v>205842681.77777779</v>
      </c>
      <c r="Y41" s="785">
        <f t="shared" ref="Y41:AR41" si="25">IF(Y30&gt;=$B$30,-(Y26+Y36),Y36)</f>
        <v>0</v>
      </c>
      <c r="Z41" s="785">
        <f t="shared" si="25"/>
        <v>0</v>
      </c>
      <c r="AA41" s="785">
        <f t="shared" si="25"/>
        <v>0</v>
      </c>
      <c r="AB41" s="785">
        <f t="shared" si="25"/>
        <v>0</v>
      </c>
      <c r="AC41" s="785">
        <f t="shared" si="25"/>
        <v>0</v>
      </c>
      <c r="AD41" s="785">
        <f t="shared" si="25"/>
        <v>0</v>
      </c>
      <c r="AE41" s="785">
        <f t="shared" si="25"/>
        <v>0</v>
      </c>
      <c r="AF41" s="785">
        <f t="shared" si="25"/>
        <v>0</v>
      </c>
      <c r="AG41" s="785">
        <f t="shared" si="25"/>
        <v>0</v>
      </c>
      <c r="AH41" s="785">
        <f t="shared" si="25"/>
        <v>0</v>
      </c>
      <c r="AI41" s="785">
        <f t="shared" si="25"/>
        <v>0</v>
      </c>
      <c r="AJ41" s="785">
        <f t="shared" si="25"/>
        <v>0</v>
      </c>
      <c r="AK41" s="785">
        <f t="shared" si="25"/>
        <v>0</v>
      </c>
      <c r="AL41" s="785">
        <f t="shared" si="25"/>
        <v>0</v>
      </c>
      <c r="AM41" s="785">
        <f t="shared" si="25"/>
        <v>0</v>
      </c>
      <c r="AN41" s="785">
        <f t="shared" si="25"/>
        <v>0</v>
      </c>
      <c r="AO41" s="785">
        <f t="shared" si="25"/>
        <v>0</v>
      </c>
      <c r="AP41" s="785">
        <f t="shared" si="25"/>
        <v>0</v>
      </c>
      <c r="AQ41" s="785">
        <f t="shared" si="25"/>
        <v>0</v>
      </c>
      <c r="AR41" s="785">
        <f t="shared" si="25"/>
        <v>0</v>
      </c>
      <c r="AS41" s="785"/>
      <c r="AT41" s="785"/>
      <c r="AU41" s="785"/>
      <c r="AV41" s="904"/>
      <c r="AW41" s="793"/>
      <c r="AX41" s="793"/>
    </row>
    <row r="42" spans="1:52">
      <c r="A42" s="803" t="s">
        <v>375</v>
      </c>
      <c r="B42" s="822">
        <f>IF(B41&lt;0,0,IRR(C41:AU41))</f>
        <v>4.6150981121936052E-2</v>
      </c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15"/>
      <c r="P42" s="815"/>
      <c r="Q42" s="815"/>
      <c r="R42" s="815"/>
      <c r="S42" s="815"/>
      <c r="T42" s="815"/>
      <c r="U42" s="815"/>
      <c r="V42" s="815"/>
      <c r="W42" s="815"/>
      <c r="X42" s="815"/>
      <c r="Y42" s="815"/>
      <c r="Z42" s="815"/>
      <c r="AA42" s="815"/>
      <c r="AB42" s="815"/>
      <c r="AC42" s="815"/>
      <c r="AD42" s="815"/>
      <c r="AE42" s="815"/>
      <c r="AF42" s="815"/>
      <c r="AG42" s="815"/>
      <c r="AH42" s="815"/>
      <c r="AI42" s="815"/>
      <c r="AJ42" s="815"/>
      <c r="AK42" s="815"/>
      <c r="AL42" s="815"/>
      <c r="AM42" s="815"/>
      <c r="AN42" s="815"/>
      <c r="AO42" s="815"/>
      <c r="AP42" s="815"/>
      <c r="AQ42" s="815"/>
      <c r="AR42" s="815"/>
      <c r="AS42" s="815"/>
      <c r="AT42" s="815"/>
      <c r="AU42" s="815"/>
      <c r="AV42" s="815"/>
      <c r="AW42" s="815"/>
      <c r="AX42" s="793"/>
    </row>
    <row r="43" spans="1:52">
      <c r="A43" s="793" t="s">
        <v>376</v>
      </c>
      <c r="B43" s="825">
        <f>POWER((1+B42),4)-1</f>
        <v>0.19778112967790484</v>
      </c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815"/>
      <c r="AH43" s="815"/>
      <c r="AI43" s="815"/>
      <c r="AJ43" s="815"/>
      <c r="AK43" s="815"/>
      <c r="AL43" s="815"/>
      <c r="AM43" s="815"/>
      <c r="AN43" s="815"/>
      <c r="AO43" s="815"/>
      <c r="AP43" s="815"/>
      <c r="AQ43" s="815"/>
      <c r="AR43" s="815"/>
      <c r="AS43" s="815"/>
      <c r="AT43" s="815"/>
      <c r="AU43" s="815"/>
      <c r="AV43" s="815"/>
      <c r="AW43" s="815"/>
      <c r="AX43" s="793"/>
    </row>
    <row r="44" spans="1:52">
      <c r="G44" s="18"/>
      <c r="AB44" s="18"/>
      <c r="AE44" s="18"/>
      <c r="AI44" s="18"/>
    </row>
    <row r="45" spans="1:52">
      <c r="G45" s="18"/>
      <c r="AB45" s="18"/>
      <c r="AE45" s="18"/>
      <c r="AI45" s="18"/>
    </row>
    <row r="46" spans="1:52">
      <c r="G46" s="18"/>
      <c r="AB46" s="18"/>
      <c r="AE46" s="18"/>
      <c r="AI46" s="18"/>
    </row>
    <row r="47" spans="1:52">
      <c r="G47" s="18"/>
      <c r="AB47" s="18"/>
      <c r="AE47" s="18"/>
      <c r="AI47" s="18"/>
    </row>
    <row r="48" spans="1:52">
      <c r="G48" s="18"/>
      <c r="AB48" s="18"/>
      <c r="AE48" s="18"/>
      <c r="AI48" s="18"/>
    </row>
    <row r="49" spans="7:35">
      <c r="G49" s="18"/>
      <c r="AB49" s="18"/>
      <c r="AE49" s="18"/>
      <c r="AI49" s="18"/>
    </row>
    <row r="50" spans="7:35">
      <c r="G50" s="18"/>
      <c r="AB50" s="18"/>
      <c r="AE50" s="18"/>
      <c r="AI50" s="18"/>
    </row>
    <row r="51" spans="7:35">
      <c r="G51" s="18"/>
    </row>
    <row r="52" spans="7:35">
      <c r="G52" s="18"/>
    </row>
    <row r="53" spans="7:35">
      <c r="G53" s="18"/>
    </row>
    <row r="54" spans="7:35">
      <c r="G54" s="18"/>
    </row>
    <row r="55" spans="7:35">
      <c r="G55" s="18"/>
    </row>
    <row r="56" spans="7:35">
      <c r="G56" s="18"/>
    </row>
    <row r="57" spans="7:35">
      <c r="G57" s="18"/>
    </row>
    <row r="58" spans="7:35">
      <c r="G58" s="18"/>
    </row>
    <row r="59" spans="7:35">
      <c r="G59" s="18"/>
    </row>
    <row r="60" spans="7:35">
      <c r="G60" s="18"/>
    </row>
    <row r="61" spans="7:35">
      <c r="G61" s="18"/>
    </row>
    <row r="62" spans="7:35">
      <c r="G62" s="18"/>
    </row>
    <row r="63" spans="7:35">
      <c r="G63" s="18"/>
    </row>
    <row r="64" spans="7:35">
      <c r="G64" s="18"/>
    </row>
    <row r="65" spans="7:7">
      <c r="G65" s="18"/>
    </row>
    <row r="66" spans="7:7">
      <c r="G66" s="18"/>
    </row>
    <row r="67" spans="7:7">
      <c r="G67" s="18"/>
    </row>
    <row r="68" spans="7:7">
      <c r="G68" s="18"/>
    </row>
    <row r="69" spans="7:7">
      <c r="G69" s="18"/>
    </row>
    <row r="70" spans="7:7">
      <c r="G70" s="18"/>
    </row>
    <row r="71" spans="7:7">
      <c r="G71" s="18"/>
    </row>
    <row r="72" spans="7:7">
      <c r="G72" s="18"/>
    </row>
    <row r="73" spans="7:7">
      <c r="G73" s="18"/>
    </row>
    <row r="74" spans="7:7">
      <c r="G74" s="18"/>
    </row>
    <row r="75" spans="7:7">
      <c r="G75" s="18"/>
    </row>
    <row r="76" spans="7:7">
      <c r="G76" s="18"/>
    </row>
    <row r="77" spans="7:7">
      <c r="G77" s="18"/>
    </row>
    <row r="78" spans="7:7">
      <c r="G78" s="18"/>
    </row>
    <row r="79" spans="7:7">
      <c r="G79" s="18"/>
    </row>
    <row r="80" spans="7:7">
      <c r="G80" s="18"/>
    </row>
    <row r="81" spans="7:7">
      <c r="G81" s="18"/>
    </row>
    <row r="82" spans="7:7">
      <c r="G82" s="18"/>
    </row>
    <row r="83" spans="7:7">
      <c r="G83" s="18"/>
    </row>
    <row r="84" spans="7:7">
      <c r="G84" s="18"/>
    </row>
    <row r="85" spans="7:7">
      <c r="G85" s="18"/>
    </row>
    <row r="86" spans="7:7">
      <c r="G86" s="18"/>
    </row>
    <row r="87" spans="7:7">
      <c r="G87" s="18"/>
    </row>
    <row r="88" spans="7:7">
      <c r="G88" s="18"/>
    </row>
    <row r="89" spans="7:7">
      <c r="G89" s="18"/>
    </row>
    <row r="90" spans="7:7">
      <c r="G90" s="18"/>
    </row>
    <row r="91" spans="7:7">
      <c r="G91" s="18"/>
    </row>
    <row r="92" spans="7:7">
      <c r="G92" s="18"/>
    </row>
    <row r="93" spans="7:7">
      <c r="G93" s="18"/>
    </row>
    <row r="94" spans="7:7">
      <c r="G94" s="18"/>
    </row>
    <row r="95" spans="7:7">
      <c r="G95" s="18"/>
    </row>
    <row r="96" spans="7:7">
      <c r="G96" s="18"/>
    </row>
    <row r="97" spans="7:7">
      <c r="G97" s="18"/>
    </row>
    <row r="98" spans="7:7">
      <c r="G98" s="18"/>
    </row>
    <row r="99" spans="7:7">
      <c r="G99" s="18"/>
    </row>
    <row r="100" spans="7:7">
      <c r="G100" s="18"/>
    </row>
    <row r="101" spans="7:7">
      <c r="G101" s="18"/>
    </row>
    <row r="102" spans="7:7">
      <c r="G102" s="18"/>
    </row>
    <row r="103" spans="7:7">
      <c r="G103" s="18"/>
    </row>
    <row r="104" spans="7:7">
      <c r="G104" s="18"/>
    </row>
    <row r="105" spans="7:7">
      <c r="G105" s="18"/>
    </row>
    <row r="106" spans="7:7">
      <c r="G106" s="18"/>
    </row>
    <row r="107" spans="7:7">
      <c r="G107" s="18"/>
    </row>
    <row r="108" spans="7:7">
      <c r="G108" s="18"/>
    </row>
    <row r="109" spans="7:7">
      <c r="G109" s="18"/>
    </row>
    <row r="110" spans="7:7">
      <c r="G110" s="18"/>
    </row>
    <row r="111" spans="7:7">
      <c r="G111" s="18"/>
    </row>
    <row r="112" spans="7:7">
      <c r="G112" s="18"/>
    </row>
    <row r="113" spans="7:7">
      <c r="G113" s="18"/>
    </row>
    <row r="114" spans="7:7">
      <c r="G114" s="18"/>
    </row>
    <row r="115" spans="7:7">
      <c r="G115" s="18"/>
    </row>
    <row r="116" spans="7:7">
      <c r="G116" s="18"/>
    </row>
    <row r="117" spans="7:7">
      <c r="G117" s="18"/>
    </row>
    <row r="118" spans="7:7">
      <c r="G118" s="18"/>
    </row>
    <row r="119" spans="7:7">
      <c r="G119" s="18"/>
    </row>
    <row r="120" spans="7:7">
      <c r="G120" s="18"/>
    </row>
    <row r="121" spans="7:7">
      <c r="G121" s="18"/>
    </row>
    <row r="122" spans="7:7">
      <c r="G122" s="18"/>
    </row>
    <row r="123" spans="7:7">
      <c r="G123" s="18"/>
    </row>
    <row r="124" spans="7:7">
      <c r="G124" s="18"/>
    </row>
    <row r="125" spans="7:7">
      <c r="G125" s="18"/>
    </row>
    <row r="126" spans="7:7">
      <c r="G126" s="18"/>
    </row>
    <row r="127" spans="7:7">
      <c r="G127" s="18"/>
    </row>
    <row r="128" spans="7:7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</sheetData>
  <mergeCells count="4">
    <mergeCell ref="A1:A3"/>
    <mergeCell ref="A34:B34"/>
    <mergeCell ref="A39:B39"/>
    <mergeCell ref="AV2:AX2"/>
  </mergeCells>
  <conditionalFormatting sqref="AV3:AX3">
    <cfRule type="cellIs" dxfId="43" priority="13" operator="equal">
      <formula>#REF!</formula>
    </cfRule>
    <cfRule type="cellIs" dxfId="42" priority="14" operator="equal">
      <formula>#REF!</formula>
    </cfRule>
  </conditionalFormatting>
  <conditionalFormatting sqref="AV3:AX3">
    <cfRule type="cellIs" dxfId="41" priority="15" operator="equal">
      <formula>#REF!</formula>
    </cfRule>
    <cfRule type="cellIs" dxfId="40" priority="16" operator="equal">
      <formula>#REF!</formula>
    </cfRule>
  </conditionalFormatting>
  <conditionalFormatting sqref="Y4:AU4">
    <cfRule type="cellIs" dxfId="39" priority="9" operator="equal">
      <formula>#REF!</formula>
    </cfRule>
    <cfRule type="cellIs" dxfId="38" priority="10" operator="equal">
      <formula>#REF!</formula>
    </cfRule>
  </conditionalFormatting>
  <conditionalFormatting sqref="Y4:AU4">
    <cfRule type="cellIs" dxfId="37" priority="11" operator="equal">
      <formula>#REF!</formula>
    </cfRule>
    <cfRule type="cellIs" dxfId="36" priority="12" operator="equal">
      <formula>#REF!</formula>
    </cfRule>
  </conditionalFormatting>
  <conditionalFormatting sqref="Y4:AC4">
    <cfRule type="cellIs" dxfId="35" priority="5" operator="equal">
      <formula>#REF!</formula>
    </cfRule>
    <cfRule type="cellIs" dxfId="34" priority="6" operator="equal">
      <formula>#REF!</formula>
    </cfRule>
  </conditionalFormatting>
  <conditionalFormatting sqref="Y4:AC4">
    <cfRule type="cellIs" dxfId="33" priority="7" operator="equal">
      <formula>#REF!</formula>
    </cfRule>
    <cfRule type="cellIs" dxfId="32" priority="8" operator="equal">
      <formula>#REF!</formula>
    </cfRule>
  </conditionalFormatting>
  <conditionalFormatting sqref="D3:AU3">
    <cfRule type="cellIs" dxfId="31" priority="1" operator="equal">
      <formula>#REF!</formula>
    </cfRule>
    <cfRule type="cellIs" dxfId="30" priority="2" operator="equal">
      <formula>#REF!</formula>
    </cfRule>
  </conditionalFormatting>
  <conditionalFormatting sqref="D3:AU3">
    <cfRule type="cellIs" dxfId="29" priority="3" operator="equal">
      <formula>#REF!</formula>
    </cfRule>
    <cfRule type="cellIs" dxfId="28" priority="4" operator="equal">
      <formula>#REF!</formula>
    </cfRule>
  </conditionalFormatting>
  <pageMargins left="0.7" right="0.7" top="0.75" bottom="0.75" header="0.3" footer="0.3"/>
  <pageSetup orientation="portrait" horizontalDpi="1200" verticalDpi="1200" r:id="rId1"/>
  <headerFooter>
    <oddHeader>&amp;C&amp;"Calibri,Regular"&amp;K000000OVERALL DRAW</oddHeader>
    <oddFooter>&amp;C&amp;"Calibri,Regular"&amp;K000000PAGE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E2B2-F63D-4E20-9F69-425BD4EB3890}">
  <sheetPr>
    <tabColor theme="6" tint="-0.249977111117893"/>
    <pageSetUpPr fitToPage="1"/>
  </sheetPr>
  <dimension ref="A1:N111"/>
  <sheetViews>
    <sheetView showGridLines="0" workbookViewId="0">
      <selection activeCell="E72" sqref="E72"/>
    </sheetView>
  </sheetViews>
  <sheetFormatPr defaultColWidth="8.85546875" defaultRowHeight="23.25" customHeight="1"/>
  <cols>
    <col min="1" max="1" width="33.85546875" style="18" bestFit="1" customWidth="1"/>
    <col min="2" max="2" width="21.5703125" style="18" bestFit="1" customWidth="1"/>
    <col min="3" max="3" width="22.42578125" style="18" bestFit="1" customWidth="1"/>
    <col min="4" max="4" width="21" style="18" customWidth="1"/>
    <col min="5" max="5" width="23.140625" style="18" customWidth="1"/>
    <col min="6" max="6" width="3.85546875" style="18" bestFit="1" customWidth="1"/>
    <col min="7" max="7" width="13.42578125" style="18" bestFit="1" customWidth="1"/>
    <col min="8" max="8" width="24.5703125" style="18" customWidth="1"/>
    <col min="9" max="9" width="32.42578125" style="18" customWidth="1"/>
    <col min="10" max="10" width="20.140625" style="18" customWidth="1"/>
    <col min="11" max="16384" width="8.85546875" style="18"/>
  </cols>
  <sheetData>
    <row r="1" spans="1:14" ht="41.25" customHeight="1" thickBot="1">
      <c r="A1" s="447" t="s">
        <v>264</v>
      </c>
      <c r="B1" s="448"/>
      <c r="C1" s="448"/>
      <c r="D1" s="446" t="s">
        <v>407</v>
      </c>
      <c r="E1" s="446"/>
    </row>
    <row r="2" spans="1:14" ht="13.15">
      <c r="A2" s="19"/>
      <c r="B2" s="20"/>
      <c r="C2" s="20"/>
      <c r="D2" s="659">
        <v>0</v>
      </c>
      <c r="E2" s="660" t="s">
        <v>266</v>
      </c>
    </row>
    <row r="3" spans="1:14" ht="26.45">
      <c r="A3" s="21" t="s">
        <v>408</v>
      </c>
      <c r="B3" s="22" t="s">
        <v>268</v>
      </c>
      <c r="C3" s="60" t="s">
        <v>269</v>
      </c>
      <c r="D3" s="22" t="s">
        <v>270</v>
      </c>
      <c r="E3" s="23" t="s">
        <v>271</v>
      </c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3.15">
      <c r="A4" s="905" t="s">
        <v>409</v>
      </c>
      <c r="B4" s="662">
        <v>50</v>
      </c>
      <c r="C4" s="662">
        <v>650</v>
      </c>
      <c r="D4" s="906">
        <f>Assumptions!C11*0.5</f>
        <v>1.0249999999999999</v>
      </c>
      <c r="E4" s="665">
        <f>B4*C4*D4*12</f>
        <v>399750</v>
      </c>
      <c r="F4" s="321"/>
      <c r="G4" s="294"/>
      <c r="H4" s="321"/>
      <c r="I4" s="321"/>
      <c r="J4" s="321"/>
      <c r="K4" s="321"/>
      <c r="L4" s="321"/>
      <c r="M4" s="321"/>
      <c r="N4" s="321"/>
    </row>
    <row r="5" spans="1:14" ht="13.15">
      <c r="A5" s="905" t="s">
        <v>410</v>
      </c>
      <c r="B5" s="662">
        <v>150</v>
      </c>
      <c r="C5" s="662">
        <v>1000</v>
      </c>
      <c r="D5" s="906">
        <f>Assumptions!C14*0.75</f>
        <v>1.2374999999999998</v>
      </c>
      <c r="E5" s="665">
        <f t="shared" ref="E5:E6" si="0">B5*C5*D5*12</f>
        <v>2227499.9999999995</v>
      </c>
      <c r="F5" s="321"/>
      <c r="G5" s="294"/>
      <c r="H5" s="321"/>
      <c r="I5" s="321"/>
      <c r="J5" s="321"/>
      <c r="K5" s="321"/>
      <c r="L5" s="321"/>
      <c r="M5" s="321"/>
      <c r="N5" s="321"/>
    </row>
    <row r="6" spans="1:14" ht="13.15">
      <c r="A6" s="332" t="s">
        <v>411</v>
      </c>
      <c r="B6" s="842">
        <v>75</v>
      </c>
      <c r="C6" s="662">
        <v>1000</v>
      </c>
      <c r="D6" s="906">
        <f>Assumptions!C14</f>
        <v>1.65</v>
      </c>
      <c r="E6" s="665">
        <f t="shared" si="0"/>
        <v>1485000</v>
      </c>
      <c r="F6" s="321"/>
      <c r="G6" s="294"/>
      <c r="H6" s="321"/>
      <c r="I6" s="321"/>
      <c r="J6" s="321"/>
      <c r="K6" s="321"/>
      <c r="L6" s="321"/>
      <c r="M6" s="321"/>
      <c r="N6" s="321"/>
    </row>
    <row r="7" spans="1:14" ht="13.15">
      <c r="A7" s="332"/>
      <c r="B7" s="840"/>
      <c r="C7" s="840"/>
      <c r="D7" s="841"/>
      <c r="E7" s="665"/>
      <c r="F7" s="321"/>
      <c r="H7" s="321">
        <v>323000</v>
      </c>
      <c r="I7" s="321"/>
      <c r="J7" s="321"/>
      <c r="K7" s="321"/>
      <c r="L7" s="321"/>
      <c r="M7" s="321"/>
      <c r="N7" s="321"/>
    </row>
    <row r="8" spans="1:14" ht="13.15">
      <c r="A8" s="332"/>
      <c r="B8" s="663"/>
      <c r="C8" s="663"/>
      <c r="D8" s="666"/>
      <c r="E8" s="665"/>
      <c r="F8" s="321">
        <f>50000/500</f>
        <v>100</v>
      </c>
      <c r="G8" s="321"/>
      <c r="H8" s="321">
        <f>H7*0.8</f>
        <v>258400</v>
      </c>
      <c r="I8" s="321"/>
      <c r="J8" s="321"/>
      <c r="K8" s="321"/>
      <c r="L8" s="321"/>
      <c r="M8" s="321"/>
      <c r="N8" s="321"/>
    </row>
    <row r="9" spans="1:14" ht="13.9" thickBot="1">
      <c r="A9" s="332"/>
      <c r="B9" s="663"/>
      <c r="C9" s="663"/>
      <c r="D9" s="666"/>
      <c r="E9" s="667"/>
      <c r="F9" s="321"/>
      <c r="G9" s="321"/>
      <c r="H9" s="321">
        <f>H8/1000</f>
        <v>258.39999999999998</v>
      </c>
      <c r="I9" s="321" t="s">
        <v>412</v>
      </c>
      <c r="J9" s="321">
        <v>650</v>
      </c>
      <c r="K9" s="321"/>
      <c r="L9" s="321"/>
      <c r="M9" s="321"/>
      <c r="N9" s="321"/>
    </row>
    <row r="10" spans="1:14" ht="14.45" thickTop="1" thickBot="1">
      <c r="A10" s="24" t="s">
        <v>276</v>
      </c>
      <c r="B10" s="25">
        <f>SUM(B4:B9)</f>
        <v>275</v>
      </c>
      <c r="C10" s="26">
        <f>B4*C4+B5*C5+B6*C6+B7*C7+B8*C8+B9*C9</f>
        <v>257500</v>
      </c>
      <c r="D10" s="27"/>
      <c r="E10" s="668">
        <f>SUM(E4:E9)</f>
        <v>4112249.9999999995</v>
      </c>
      <c r="F10" s="321"/>
      <c r="G10" s="321"/>
      <c r="H10" s="321"/>
      <c r="I10" s="321"/>
      <c r="J10" s="321">
        <v>1000</v>
      </c>
      <c r="K10" s="321"/>
      <c r="L10" s="321">
        <f>650*50</f>
        <v>32500</v>
      </c>
      <c r="M10" s="321">
        <v>50</v>
      </c>
      <c r="N10" s="321" t="s">
        <v>413</v>
      </c>
    </row>
    <row r="11" spans="1:14" ht="14.45" thickTop="1" thickBot="1">
      <c r="A11" s="28" t="s">
        <v>277</v>
      </c>
      <c r="B11" s="29"/>
      <c r="C11" s="30">
        <f>C10/B10</f>
        <v>936.36363636363637</v>
      </c>
      <c r="D11" s="31">
        <f>(E10/12)/C10</f>
        <v>1.3308252427184464</v>
      </c>
      <c r="E11" s="32"/>
      <c r="F11" s="321"/>
      <c r="G11" s="321"/>
      <c r="H11" s="321"/>
      <c r="I11" s="321"/>
      <c r="J11" s="321"/>
      <c r="K11" s="321"/>
      <c r="L11" s="321">
        <f>M11*1000</f>
        <v>150000</v>
      </c>
      <c r="M11" s="321">
        <v>150</v>
      </c>
      <c r="N11" s="321" t="s">
        <v>414</v>
      </c>
    </row>
    <row r="12" spans="1:14" ht="13.15">
      <c r="A12" s="33"/>
      <c r="B12" s="34"/>
      <c r="C12" s="35"/>
      <c r="D12" s="36"/>
      <c r="F12" s="321"/>
      <c r="G12" s="321"/>
      <c r="H12" s="321"/>
      <c r="I12" s="321"/>
      <c r="J12" s="321">
        <f>H8-L10</f>
        <v>225900</v>
      </c>
      <c r="K12" s="321"/>
      <c r="L12" s="321"/>
      <c r="M12" s="321">
        <f>J13/1000</f>
        <v>75.900000000000006</v>
      </c>
      <c r="N12" s="321" t="s">
        <v>415</v>
      </c>
    </row>
    <row r="13" spans="1:14" ht="13.15">
      <c r="A13" s="21" t="s">
        <v>278</v>
      </c>
      <c r="B13" s="22" t="s">
        <v>279</v>
      </c>
      <c r="C13" s="22" t="s">
        <v>280</v>
      </c>
      <c r="D13" s="22" t="s">
        <v>271</v>
      </c>
      <c r="F13" s="321"/>
      <c r="G13" s="321"/>
      <c r="H13" s="321">
        <v>130000</v>
      </c>
      <c r="I13" s="321" t="s">
        <v>416</v>
      </c>
      <c r="J13" s="321">
        <f>J12-L11</f>
        <v>75900</v>
      </c>
      <c r="K13" s="321"/>
      <c r="L13" s="321"/>
      <c r="M13" s="321"/>
      <c r="N13" s="321"/>
    </row>
    <row r="14" spans="1:14" ht="21" customHeight="1">
      <c r="A14" s="669" t="s">
        <v>5</v>
      </c>
      <c r="B14" s="670">
        <v>147200</v>
      </c>
      <c r="C14" s="907">
        <v>41</v>
      </c>
      <c r="D14" s="672">
        <f>B14*C14</f>
        <v>6035200</v>
      </c>
      <c r="F14" s="321"/>
      <c r="G14" s="321"/>
      <c r="H14" s="321">
        <v>17200</v>
      </c>
      <c r="I14" s="321" t="s">
        <v>416</v>
      </c>
      <c r="J14" s="321"/>
      <c r="K14" s="321"/>
      <c r="L14" s="321"/>
      <c r="M14" s="321"/>
      <c r="N14" s="321"/>
    </row>
    <row r="15" spans="1:14" ht="13.9" thickBot="1">
      <c r="A15" s="673" t="s">
        <v>4</v>
      </c>
      <c r="B15" s="674">
        <v>121000</v>
      </c>
      <c r="C15" s="908">
        <v>23</v>
      </c>
      <c r="D15" s="676">
        <f>B15*C15</f>
        <v>2783000</v>
      </c>
      <c r="F15" s="321"/>
      <c r="G15" s="321"/>
      <c r="H15" s="321">
        <v>121000</v>
      </c>
      <c r="I15" s="321" t="s">
        <v>417</v>
      </c>
      <c r="J15" s="321"/>
      <c r="K15" s="321"/>
      <c r="L15" s="321"/>
      <c r="M15" s="321"/>
      <c r="N15" s="321"/>
    </row>
    <row r="16" spans="1:14" ht="14.45" thickTop="1" thickBot="1">
      <c r="A16" s="37" t="s">
        <v>281</v>
      </c>
      <c r="B16" s="677">
        <f>SUM(B14:B15)</f>
        <v>268200</v>
      </c>
      <c r="C16" s="38">
        <f>IF(B16=0,0,D16/B16)</f>
        <v>32.879194630872483</v>
      </c>
      <c r="D16" s="39">
        <f>SUM(D14:D15)</f>
        <v>8818200</v>
      </c>
      <c r="E16" s="40"/>
      <c r="F16" s="321"/>
      <c r="G16" s="321"/>
      <c r="H16" s="321"/>
      <c r="I16" s="321"/>
      <c r="J16" s="321"/>
      <c r="K16" s="321"/>
      <c r="L16" s="321"/>
      <c r="M16" s="321"/>
      <c r="N16" s="321"/>
    </row>
    <row r="17" spans="1:14" ht="13.15">
      <c r="A17" s="681" t="s">
        <v>282</v>
      </c>
      <c r="B17" s="679"/>
      <c r="F17" s="321"/>
      <c r="G17" s="321"/>
      <c r="H17" s="321"/>
      <c r="I17" s="321"/>
      <c r="J17" s="321"/>
      <c r="K17" s="321"/>
      <c r="L17" s="321"/>
      <c r="M17" s="321"/>
      <c r="N17" s="321"/>
    </row>
    <row r="18" spans="1:14" ht="13.15">
      <c r="A18" s="524" t="s">
        <v>95</v>
      </c>
      <c r="B18" s="680">
        <f>B4+(SUM(B5:B6)*2)+(B16/300)</f>
        <v>1394</v>
      </c>
      <c r="C18" s="41"/>
      <c r="D18" s="42"/>
      <c r="F18" s="321"/>
      <c r="G18" s="321"/>
      <c r="H18" s="321">
        <v>31000</v>
      </c>
      <c r="I18" s="321" t="s">
        <v>418</v>
      </c>
      <c r="J18" s="321"/>
      <c r="K18" s="321"/>
      <c r="L18" s="321"/>
      <c r="M18" s="321"/>
      <c r="N18" s="321"/>
    </row>
    <row r="19" spans="1:14" ht="13.9" thickBot="1">
      <c r="A19" s="551"/>
      <c r="B19" s="680"/>
      <c r="C19" s="41"/>
      <c r="D19" s="42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4.45" thickTop="1" thickBot="1">
      <c r="A20" s="43" t="s">
        <v>283</v>
      </c>
      <c r="B20" s="44">
        <f>SUM(B18:B19)</f>
        <v>1394</v>
      </c>
      <c r="C20" s="41"/>
      <c r="D20" s="42"/>
      <c r="F20" s="321"/>
      <c r="G20" s="321"/>
      <c r="H20" s="321"/>
      <c r="I20" s="321"/>
      <c r="J20" s="321"/>
      <c r="K20" s="321"/>
      <c r="L20" s="321"/>
      <c r="M20" s="321"/>
      <c r="N20" s="321"/>
    </row>
    <row r="21" spans="1:14" ht="13.15">
      <c r="A21" s="681" t="s">
        <v>284</v>
      </c>
      <c r="B21" s="909" t="str">
        <f>'Development Program'!B30</f>
        <v>Hotel &amp; Library</v>
      </c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</row>
    <row r="22" spans="1:14" ht="13.15">
      <c r="A22" s="683" t="s">
        <v>285</v>
      </c>
      <c r="B22" s="684">
        <f>'Development Program'!D12</f>
        <v>651222.00000000012</v>
      </c>
      <c r="C22" s="324"/>
      <c r="D22" s="325"/>
      <c r="E22" s="321"/>
    </row>
    <row r="23" spans="1:14" ht="13.15">
      <c r="A23" s="683" t="s">
        <v>419</v>
      </c>
      <c r="B23" s="684">
        <f>C10</f>
        <v>257500</v>
      </c>
      <c r="C23" s="324"/>
      <c r="D23" s="325"/>
      <c r="E23" s="321"/>
    </row>
    <row r="24" spans="1:14" ht="13.15">
      <c r="A24" s="910">
        <v>350</v>
      </c>
      <c r="B24" s="684">
        <f>B18*A24</f>
        <v>487900</v>
      </c>
      <c r="C24" s="324"/>
      <c r="D24" s="325"/>
      <c r="E24" s="321"/>
    </row>
    <row r="25" spans="1:14" ht="13.15">
      <c r="A25" s="845">
        <v>0.05</v>
      </c>
      <c r="B25" s="684">
        <f>(1+A25)*(B23+B24)</f>
        <v>782670</v>
      </c>
      <c r="C25" s="326">
        <f>B26/B22</f>
        <v>0.40061607255283138</v>
      </c>
      <c r="D25" s="327">
        <f>B25/B22</f>
        <v>1.2018482176584941</v>
      </c>
      <c r="E25" s="321"/>
    </row>
    <row r="26" spans="1:14" ht="13.9" thickBot="1">
      <c r="A26" s="846">
        <v>3</v>
      </c>
      <c r="B26" s="688">
        <f>B25/A26</f>
        <v>260890</v>
      </c>
      <c r="C26" s="46"/>
      <c r="D26" s="47"/>
      <c r="E26" s="45"/>
    </row>
    <row r="27" spans="1:14" ht="13.9" thickBot="1">
      <c r="A27" s="461" t="s">
        <v>287</v>
      </c>
      <c r="B27" s="462"/>
      <c r="C27" s="356" t="str">
        <f>D1</f>
        <v>Shopping Center &amp; Mixed Income Rentals</v>
      </c>
      <c r="D27" s="357"/>
      <c r="E27" s="45"/>
    </row>
    <row r="28" spans="1:14" ht="14.25" customHeight="1" thickBot="1">
      <c r="A28" s="342" t="s">
        <v>288</v>
      </c>
      <c r="B28" s="343" t="s">
        <v>289</v>
      </c>
      <c r="C28" s="343" t="s">
        <v>290</v>
      </c>
      <c r="D28" s="344" t="s">
        <v>291</v>
      </c>
      <c r="E28" s="45"/>
    </row>
    <row r="29" spans="1:14" ht="14.25" customHeight="1">
      <c r="A29" s="345" t="s">
        <v>292</v>
      </c>
      <c r="B29" s="346"/>
      <c r="C29" s="352"/>
      <c r="D29" s="361">
        <f>E10</f>
        <v>4112249.9999999995</v>
      </c>
      <c r="E29" s="45"/>
    </row>
    <row r="30" spans="1:14" ht="14.25" customHeight="1">
      <c r="A30" s="690">
        <f>B16</f>
        <v>268200</v>
      </c>
      <c r="B30" s="459" t="s">
        <v>293</v>
      </c>
      <c r="C30" s="484"/>
      <c r="D30" s="691">
        <f>D16</f>
        <v>8818200</v>
      </c>
      <c r="E30" s="45"/>
    </row>
    <row r="31" spans="1:14" ht="14.25" customHeight="1">
      <c r="A31" s="847"/>
      <c r="B31" s="693" t="s">
        <v>294</v>
      </c>
      <c r="C31" s="848"/>
      <c r="D31" s="849">
        <f>SUM(D29:D30)</f>
        <v>12930450</v>
      </c>
      <c r="E31" s="45"/>
    </row>
    <row r="32" spans="1:14" ht="13.15">
      <c r="A32" s="850" t="s">
        <v>295</v>
      </c>
      <c r="B32" s="694" t="s">
        <v>296</v>
      </c>
      <c r="C32" s="851" t="s">
        <v>297</v>
      </c>
      <c r="D32" s="849"/>
      <c r="E32" s="45"/>
    </row>
    <row r="33" spans="1:5" ht="13.15">
      <c r="A33" s="847" t="s">
        <v>298</v>
      </c>
      <c r="B33" s="696"/>
      <c r="C33" s="852"/>
      <c r="D33" s="853">
        <f>B20*12*10</f>
        <v>167280</v>
      </c>
      <c r="E33" s="45"/>
    </row>
    <row r="34" spans="1:5" ht="13.15">
      <c r="A34" s="847" t="s">
        <v>299</v>
      </c>
      <c r="B34" s="696"/>
      <c r="C34" s="852"/>
      <c r="D34" s="853">
        <f>Assumptions!F14*D31</f>
        <v>905131.50000000012</v>
      </c>
      <c r="E34" s="45"/>
    </row>
    <row r="35" spans="1:5" ht="13.15">
      <c r="A35" s="847" t="s">
        <v>300</v>
      </c>
      <c r="B35" s="696"/>
      <c r="C35" s="852"/>
      <c r="D35" s="853">
        <f>C62/5*0.5</f>
        <v>736000</v>
      </c>
      <c r="E35" s="45"/>
    </row>
    <row r="36" spans="1:5" ht="13.9" thickBot="1">
      <c r="A36" s="49" t="s">
        <v>301</v>
      </c>
      <c r="B36" s="451"/>
      <c r="C36" s="478"/>
      <c r="D36" s="50">
        <f>SUM(D33:D35)</f>
        <v>1808411.5</v>
      </c>
      <c r="E36" s="45"/>
    </row>
    <row r="37" spans="1:5" ht="14.45" thickTop="1" thickBot="1">
      <c r="A37" s="203">
        <v>7.0999999999999994E-2</v>
      </c>
      <c r="B37" s="453"/>
      <c r="C37" s="479"/>
      <c r="D37" s="52">
        <f>-A37*D31</f>
        <v>-918061.95</v>
      </c>
      <c r="E37" s="45"/>
    </row>
    <row r="38" spans="1:5" ht="14.45" thickTop="1" thickBot="1">
      <c r="A38" s="347" t="s">
        <v>302</v>
      </c>
      <c r="B38" s="53"/>
      <c r="C38" s="353"/>
      <c r="D38" s="54">
        <f>D31+D36+D37</f>
        <v>13820799.550000001</v>
      </c>
      <c r="E38" s="45"/>
    </row>
    <row r="39" spans="1:5" ht="13.15">
      <c r="A39" s="21" t="s">
        <v>303</v>
      </c>
      <c r="B39" s="22" t="s">
        <v>289</v>
      </c>
      <c r="C39" s="22" t="s">
        <v>304</v>
      </c>
      <c r="D39" s="362" t="s">
        <v>291</v>
      </c>
      <c r="E39" s="45"/>
    </row>
    <row r="40" spans="1:5" ht="13.9" thickBot="1">
      <c r="A40" s="358" t="s">
        <v>305</v>
      </c>
      <c r="B40" s="359"/>
      <c r="C40" s="360"/>
      <c r="D40" s="363">
        <f>-0.3*D31</f>
        <v>-3879135</v>
      </c>
      <c r="E40" s="45"/>
    </row>
    <row r="41" spans="1:5" ht="21" customHeight="1" thickBot="1">
      <c r="A41" s="297" t="s">
        <v>306</v>
      </c>
      <c r="B41" s="298"/>
      <c r="C41" s="299"/>
      <c r="D41" s="298">
        <f>D38+D40</f>
        <v>9941664.5500000007</v>
      </c>
      <c r="E41" s="45"/>
    </row>
    <row r="42" spans="1:5" ht="21" customHeight="1" thickBot="1">
      <c r="A42" s="699" t="s">
        <v>307</v>
      </c>
      <c r="B42" s="58" t="s">
        <v>308</v>
      </c>
      <c r="C42" s="59">
        <v>7.0999999999999994E-2</v>
      </c>
      <c r="D42" s="911">
        <f>D41/C42</f>
        <v>140023444.3661972</v>
      </c>
      <c r="E42" s="45"/>
    </row>
    <row r="43" spans="1:5" ht="13.9" thickBot="1">
      <c r="A43" s="833" t="s">
        <v>387</v>
      </c>
      <c r="B43" s="834"/>
      <c r="C43" s="834"/>
      <c r="D43" s="486"/>
      <c r="E43" s="45"/>
    </row>
    <row r="44" spans="1:5" ht="13.9" thickBot="1">
      <c r="A44" s="463" t="s">
        <v>309</v>
      </c>
      <c r="B44" s="464"/>
      <c r="C44" s="449" t="str">
        <f>D1</f>
        <v>Shopping Center &amp; Mixed Income Rentals</v>
      </c>
      <c r="D44" s="488"/>
    </row>
    <row r="45" spans="1:5" ht="13.9" thickBot="1">
      <c r="A45" s="366"/>
      <c r="B45" s="367" t="s">
        <v>310</v>
      </c>
      <c r="C45" s="367" t="s">
        <v>311</v>
      </c>
      <c r="D45" s="368" t="s">
        <v>420</v>
      </c>
    </row>
    <row r="46" spans="1:5" ht="13.15">
      <c r="A46" s="61" t="s">
        <v>312</v>
      </c>
      <c r="B46" s="364">
        <v>250</v>
      </c>
      <c r="C46" s="62">
        <f>(B46*200)+(B16*150)</f>
        <v>40280000</v>
      </c>
      <c r="D46" s="365">
        <f>C46/B$24</f>
        <v>82.557901209264188</v>
      </c>
    </row>
    <row r="47" spans="1:5" ht="13.15">
      <c r="A47" s="61" t="s">
        <v>421</v>
      </c>
      <c r="B47" s="855">
        <v>20000</v>
      </c>
      <c r="C47" s="62">
        <f>B20*B47</f>
        <v>27880000</v>
      </c>
      <c r="D47" s="696">
        <f t="shared" ref="D47:D67" si="1">C47/B$24</f>
        <v>57.142857142857146</v>
      </c>
      <c r="E47" s="293"/>
    </row>
    <row r="48" spans="1:5" ht="13.15">
      <c r="A48" s="61" t="s">
        <v>121</v>
      </c>
      <c r="B48" s="856">
        <v>7.0000000000000007E-2</v>
      </c>
      <c r="C48" s="62">
        <f>B48*C46</f>
        <v>2819600.0000000005</v>
      </c>
      <c r="D48" s="696">
        <f t="shared" si="1"/>
        <v>5.7790530846484947</v>
      </c>
    </row>
    <row r="49" spans="1:7" ht="13.15">
      <c r="A49" s="61" t="s">
        <v>205</v>
      </c>
      <c r="B49" s="704" t="s">
        <v>131</v>
      </c>
      <c r="C49" s="62">
        <f>256000*7</f>
        <v>1792000</v>
      </c>
      <c r="D49" s="696">
        <f t="shared" si="1"/>
        <v>3.672883787661406</v>
      </c>
    </row>
    <row r="50" spans="1:7" ht="26.45">
      <c r="A50" s="61" t="s">
        <v>314</v>
      </c>
      <c r="B50" s="705" t="s">
        <v>397</v>
      </c>
      <c r="C50" s="706">
        <f>B22*2.81</f>
        <v>1829933.8200000003</v>
      </c>
      <c r="D50" s="696">
        <f t="shared" si="1"/>
        <v>3.750632957573274</v>
      </c>
    </row>
    <row r="51" spans="1:7" ht="13.15">
      <c r="A51" s="61" t="s">
        <v>124</v>
      </c>
      <c r="B51" s="858">
        <v>72</v>
      </c>
      <c r="C51" s="62">
        <f>(B10*B51)+(B51*B16/30)</f>
        <v>663480</v>
      </c>
      <c r="D51" s="696">
        <f t="shared" si="1"/>
        <v>1.3598688255790121</v>
      </c>
    </row>
    <row r="52" spans="1:7" ht="23.25" customHeight="1">
      <c r="A52" s="61" t="s">
        <v>316</v>
      </c>
      <c r="B52" s="859" t="s">
        <v>317</v>
      </c>
      <c r="C52" s="62">
        <f>'Development Program'!F20+'Development Program'!F21</f>
        <v>1225000</v>
      </c>
      <c r="D52" s="696">
        <f t="shared" si="1"/>
        <v>2.5107604017216643</v>
      </c>
    </row>
    <row r="53" spans="1:7" ht="13.15">
      <c r="A53" s="524" t="s">
        <v>130</v>
      </c>
      <c r="B53" s="709" t="s">
        <v>131</v>
      </c>
      <c r="C53" s="710">
        <f>1000*B16/300</f>
        <v>894000</v>
      </c>
      <c r="D53" s="696">
        <f t="shared" si="1"/>
        <v>1.832342693174831</v>
      </c>
    </row>
    <row r="54" spans="1:7" ht="13.15">
      <c r="A54" s="524" t="s">
        <v>132</v>
      </c>
      <c r="B54" s="709" t="s">
        <v>131</v>
      </c>
      <c r="C54" s="860">
        <v>300000</v>
      </c>
      <c r="D54" s="696">
        <f t="shared" si="1"/>
        <v>0.6148800983808157</v>
      </c>
      <c r="E54" s="63"/>
    </row>
    <row r="55" spans="1:7" ht="13.15">
      <c r="A55" s="524" t="s">
        <v>51</v>
      </c>
      <c r="B55" s="912">
        <v>10</v>
      </c>
      <c r="C55" s="860">
        <f>B55*0.1*B22</f>
        <v>651222.00000000012</v>
      </c>
      <c r="D55" s="696">
        <f t="shared" si="1"/>
        <v>1.3347448247591722</v>
      </c>
      <c r="E55" s="63"/>
    </row>
    <row r="56" spans="1:7" ht="49.5" customHeight="1">
      <c r="A56" s="524" t="s">
        <v>134</v>
      </c>
      <c r="B56" s="861">
        <v>0.04</v>
      </c>
      <c r="C56" s="712">
        <f>B56*(C46+C48)</f>
        <v>1723984</v>
      </c>
      <c r="D56" s="696">
        <f t="shared" si="1"/>
        <v>3.5334781717565074</v>
      </c>
    </row>
    <row r="57" spans="1:7" ht="22.5" customHeight="1">
      <c r="A57" s="524" t="s">
        <v>136</v>
      </c>
      <c r="B57" s="862">
        <v>0.03</v>
      </c>
      <c r="C57" s="714">
        <f>B57*SUM(C46:C56)</f>
        <v>2401776.5945999995</v>
      </c>
      <c r="D57" s="696">
        <f t="shared" si="1"/>
        <v>4.922682095921294</v>
      </c>
    </row>
    <row r="58" spans="1:7" ht="13.15">
      <c r="A58" s="524" t="s">
        <v>138</v>
      </c>
      <c r="B58" s="861">
        <v>0.02</v>
      </c>
      <c r="C58" s="712">
        <f>B58*(C46+C48)</f>
        <v>861992</v>
      </c>
      <c r="D58" s="696">
        <f t="shared" si="1"/>
        <v>1.7667390858782537</v>
      </c>
    </row>
    <row r="59" spans="1:7" ht="26.25" customHeight="1">
      <c r="A59" s="524" t="s">
        <v>318</v>
      </c>
      <c r="B59" s="715" t="s">
        <v>131</v>
      </c>
      <c r="C59" s="860">
        <f>0.31*D42*0.06</f>
        <v>2604436.0652112677</v>
      </c>
      <c r="D59" s="696">
        <f t="shared" si="1"/>
        <v>5.3380530133454966</v>
      </c>
    </row>
    <row r="60" spans="1:7" ht="13.15">
      <c r="A60" s="524" t="s">
        <v>142</v>
      </c>
      <c r="B60" s="859">
        <v>6000</v>
      </c>
      <c r="C60" s="712">
        <f>B60*B25/3000</f>
        <v>1565340</v>
      </c>
      <c r="D60" s="696">
        <f t="shared" si="1"/>
        <v>3.2083213773314205</v>
      </c>
    </row>
    <row r="61" spans="1:7" ht="13.15">
      <c r="A61" s="524" t="s">
        <v>144</v>
      </c>
      <c r="B61" s="709" t="s">
        <v>131</v>
      </c>
      <c r="C61" s="860">
        <v>800000</v>
      </c>
      <c r="D61" s="696">
        <f t="shared" si="1"/>
        <v>1.639680262348842</v>
      </c>
    </row>
    <row r="62" spans="1:7" ht="13.15">
      <c r="A62" s="524" t="s">
        <v>319</v>
      </c>
      <c r="B62" s="196">
        <v>50</v>
      </c>
      <c r="C62" s="712">
        <f>B14*B62</f>
        <v>7360000</v>
      </c>
      <c r="D62" s="696">
        <f t="shared" si="1"/>
        <v>15.085058413609346</v>
      </c>
    </row>
    <row r="63" spans="1:7" ht="27" customHeight="1">
      <c r="A63" s="524" t="s">
        <v>320</v>
      </c>
      <c r="B63" s="864"/>
      <c r="C63" s="714"/>
      <c r="D63" s="696">
        <f t="shared" si="1"/>
        <v>0</v>
      </c>
    </row>
    <row r="64" spans="1:7" ht="27" customHeight="1">
      <c r="A64" s="524" t="s">
        <v>148</v>
      </c>
      <c r="B64" s="865">
        <v>1.4999999999999999E-2</v>
      </c>
      <c r="C64" s="714">
        <v>1051800</v>
      </c>
      <c r="D64" s="696">
        <f t="shared" si="1"/>
        <v>2.1557696249231402</v>
      </c>
      <c r="E64" s="482" t="s">
        <v>400</v>
      </c>
      <c r="F64" s="483"/>
      <c r="G64" s="65">
        <f>B64*B77</f>
        <v>1089585</v>
      </c>
    </row>
    <row r="65" spans="1:7" ht="13.15">
      <c r="A65" s="720" t="s">
        <v>149</v>
      </c>
      <c r="B65" s="866">
        <v>0.06</v>
      </c>
      <c r="C65" s="714">
        <v>4207200</v>
      </c>
      <c r="D65" s="696">
        <f t="shared" si="1"/>
        <v>8.6230784996925607</v>
      </c>
      <c r="E65" s="482" t="s">
        <v>400</v>
      </c>
      <c r="F65" s="483"/>
      <c r="G65" s="66">
        <f>B65*B77</f>
        <v>4358340</v>
      </c>
    </row>
    <row r="66" spans="1:7" ht="13.9" thickBot="1">
      <c r="A66" s="551" t="s">
        <v>322</v>
      </c>
      <c r="B66" s="722" t="s">
        <v>131</v>
      </c>
      <c r="C66" s="867">
        <f>142900000*0.02</f>
        <v>2858000</v>
      </c>
      <c r="D66" s="724">
        <f t="shared" si="1"/>
        <v>5.8577577372412382</v>
      </c>
    </row>
    <row r="67" spans="1:7" ht="14.45" thickTop="1" thickBot="1">
      <c r="A67" s="725" t="s">
        <v>323</v>
      </c>
      <c r="B67" s="726"/>
      <c r="C67" s="67">
        <f>SUM(C46:C66)</f>
        <v>103769764.47981125</v>
      </c>
      <c r="D67" s="67">
        <f t="shared" si="1"/>
        <v>212.68654330766807</v>
      </c>
    </row>
    <row r="68" spans="1:7" ht="13.15">
      <c r="A68" s="727"/>
      <c r="B68" s="728"/>
    </row>
    <row r="69" spans="1:7" ht="13.15">
      <c r="A69" s="729" t="s">
        <v>325</v>
      </c>
      <c r="B69" s="730">
        <f>(D42/C67)-1</f>
        <v>0.34936650447384632</v>
      </c>
      <c r="C69" s="68"/>
      <c r="D69" s="69"/>
    </row>
    <row r="70" spans="1:7" ht="13.9" thickBot="1">
      <c r="A70" s="731">
        <v>0.3</v>
      </c>
      <c r="B70" s="732">
        <f>(D42/(1+A70))</f>
        <v>107710341.82015169</v>
      </c>
    </row>
    <row r="71" spans="1:7" ht="13.9" thickBot="1">
      <c r="A71" s="868">
        <v>0.3</v>
      </c>
      <c r="B71" s="732">
        <f>ROUND((D42/(1+A71))-C67,-3)</f>
        <v>3941000</v>
      </c>
      <c r="C71" s="70" t="s">
        <v>326</v>
      </c>
    </row>
    <row r="72" spans="1:7" ht="13.15">
      <c r="A72" s="71"/>
      <c r="B72" s="72"/>
    </row>
    <row r="73" spans="1:7" ht="13.15">
      <c r="A73" s="913" t="s">
        <v>327</v>
      </c>
      <c r="B73" s="914"/>
      <c r="C73" s="915" t="str">
        <f>D1</f>
        <v>Shopping Center &amp; Mixed Income Rentals</v>
      </c>
    </row>
    <row r="74" spans="1:7" ht="13.15">
      <c r="A74" s="916"/>
      <c r="B74" s="542" t="s">
        <v>328</v>
      </c>
      <c r="C74" s="542" t="s">
        <v>289</v>
      </c>
    </row>
    <row r="75" spans="1:7" ht="13.15">
      <c r="A75" s="917" t="s">
        <v>329</v>
      </c>
      <c r="B75" s="668">
        <f>IF(B71&lt;0,B71,0)</f>
        <v>0</v>
      </c>
      <c r="C75" s="668">
        <f>B75/B10</f>
        <v>0</v>
      </c>
    </row>
    <row r="76" spans="1:7" ht="13.15">
      <c r="A76" s="917" t="s">
        <v>330</v>
      </c>
      <c r="B76" s="668">
        <f>C67+B75</f>
        <v>103769764.47981125</v>
      </c>
      <c r="C76" s="668">
        <f>B76/B10</f>
        <v>377344.59810840455</v>
      </c>
    </row>
    <row r="77" spans="1:7" ht="13.15">
      <c r="A77" s="918">
        <f>Assumptions!H16</f>
        <v>0.7</v>
      </c>
      <c r="B77" s="919">
        <f>ROUND(A77*C67,-3)</f>
        <v>72639000</v>
      </c>
      <c r="C77" s="919">
        <f>B77/B10</f>
        <v>264141.81818181818</v>
      </c>
    </row>
    <row r="78" spans="1:7" ht="13.15">
      <c r="A78" s="920">
        <f>1-A77</f>
        <v>0.30000000000000004</v>
      </c>
      <c r="B78" s="919">
        <f>ROUND(A78*C67,-3)</f>
        <v>31131000</v>
      </c>
      <c r="C78" s="919">
        <f>B78/B10</f>
        <v>113203.63636363637</v>
      </c>
      <c r="D78" s="69"/>
    </row>
    <row r="79" spans="1:7" ht="13.15">
      <c r="A79" s="921" t="s">
        <v>331</v>
      </c>
      <c r="B79" s="922">
        <f>B77+B78</f>
        <v>103770000</v>
      </c>
      <c r="C79" s="922">
        <f>ROUND((C78+C77),-3)</f>
        <v>377000</v>
      </c>
      <c r="E79" s="793"/>
    </row>
    <row r="80" spans="1:7" ht="13.9" thickBot="1">
      <c r="A80" s="742"/>
      <c r="B80" s="231"/>
      <c r="C80" s="231"/>
    </row>
    <row r="81" spans="1:5" ht="15" customHeight="1" thickBot="1">
      <c r="A81" s="455" t="s">
        <v>332</v>
      </c>
      <c r="B81" s="456"/>
      <c r="C81" s="734" t="str">
        <f>D1</f>
        <v>Shopping Center &amp; Mixed Income Rentals</v>
      </c>
    </row>
    <row r="82" spans="1:5" ht="13.9" thickBot="1">
      <c r="A82" s="79"/>
      <c r="B82" s="744" t="s">
        <v>333</v>
      </c>
      <c r="C82" s="744"/>
    </row>
    <row r="83" spans="1:5" ht="13.15">
      <c r="A83" s="745" t="s">
        <v>334</v>
      </c>
      <c r="B83" s="747">
        <f>ROUND(D42,-2)</f>
        <v>140023400</v>
      </c>
      <c r="C83" s="747"/>
    </row>
    <row r="84" spans="1:5" ht="13.9" thickBot="1">
      <c r="A84" s="874">
        <v>0.02</v>
      </c>
      <c r="B84" s="875">
        <f>(-ROUND(A84*B83,-2))</f>
        <v>-2800500</v>
      </c>
      <c r="C84" s="750"/>
    </row>
    <row r="85" spans="1:5" ht="14.45" thickTop="1" thickBot="1">
      <c r="A85" s="751" t="s">
        <v>335</v>
      </c>
      <c r="B85" s="80">
        <f>B83+B84</f>
        <v>137222900</v>
      </c>
      <c r="C85" s="80"/>
      <c r="E85" s="81"/>
    </row>
    <row r="86" spans="1:5" ht="13.15">
      <c r="A86" s="745" t="s">
        <v>336</v>
      </c>
      <c r="B86" s="747">
        <f>-B77</f>
        <v>-72639000</v>
      </c>
      <c r="C86" s="747"/>
    </row>
    <row r="87" spans="1:5" ht="13.9" thickBot="1">
      <c r="A87" s="752" t="s">
        <v>337</v>
      </c>
      <c r="B87" s="750">
        <f>-B78</f>
        <v>-31131000</v>
      </c>
      <c r="C87" s="750"/>
    </row>
    <row r="88" spans="1:5" ht="14.45" thickTop="1" thickBot="1">
      <c r="A88" s="156" t="s">
        <v>338</v>
      </c>
      <c r="B88" s="82">
        <f>ROUND(B85+B86+B87,-2)</f>
        <v>33452900</v>
      </c>
      <c r="C88" s="82"/>
      <c r="D88" s="83"/>
    </row>
    <row r="89" spans="1:5" ht="13.9" thickBot="1">
      <c r="A89" s="754" t="s">
        <v>339</v>
      </c>
      <c r="B89" s="755"/>
      <c r="C89" s="756"/>
    </row>
    <row r="90" spans="1:5" ht="13.15">
      <c r="A90" s="757" t="s">
        <v>340</v>
      </c>
      <c r="B90" s="758">
        <f>B83/B10</f>
        <v>509176</v>
      </c>
      <c r="C90" s="758"/>
    </row>
    <row r="91" spans="1:5" ht="13.9" thickBot="1">
      <c r="A91" s="759" t="s">
        <v>341</v>
      </c>
      <c r="B91" s="760">
        <f>B85/B10</f>
        <v>498992.36363636365</v>
      </c>
      <c r="C91" s="760"/>
    </row>
    <row r="92" spans="1:5" ht="13.15">
      <c r="A92" s="761" t="s">
        <v>342</v>
      </c>
      <c r="B92" s="762"/>
      <c r="C92" s="763"/>
    </row>
    <row r="93" spans="1:5" ht="13.9" thickBot="1">
      <c r="A93" s="742"/>
      <c r="B93" s="84"/>
      <c r="C93" s="84"/>
    </row>
    <row r="94" spans="1:5" ht="13.15">
      <c r="A94" s="85"/>
      <c r="B94" s="744" t="s">
        <v>333</v>
      </c>
      <c r="C94" s="744"/>
    </row>
    <row r="95" spans="1:5" ht="13.15">
      <c r="A95" s="764" t="s">
        <v>343</v>
      </c>
      <c r="B95" s="765">
        <f>(B88+B78)/B78</f>
        <v>2.0745848189907168</v>
      </c>
      <c r="C95" s="765"/>
    </row>
    <row r="96" spans="1:5" ht="13.15">
      <c r="A96" s="766" t="s">
        <v>344</v>
      </c>
      <c r="B96" s="767">
        <f ca="1">'D DRAW'!B37</f>
        <v>0.38359404235918815</v>
      </c>
      <c r="C96" s="767"/>
      <c r="D96" s="86"/>
    </row>
    <row r="97" spans="1:4" ht="13.15">
      <c r="A97" s="764" t="s">
        <v>346</v>
      </c>
      <c r="B97" s="768">
        <f>D41/B77</f>
        <v>0.13686400625008605</v>
      </c>
      <c r="C97" s="768"/>
    </row>
    <row r="98" spans="1:4" ht="13.15">
      <c r="A98" s="764" t="s">
        <v>347</v>
      </c>
      <c r="B98" s="769">
        <f>C42</f>
        <v>7.0999999999999994E-2</v>
      </c>
      <c r="C98" s="769"/>
    </row>
    <row r="99" spans="1:4" ht="13.15"/>
    <row r="100" spans="1:4" ht="13.15"/>
    <row r="105" spans="1:4" ht="23.25" hidden="1" customHeight="1" thickBot="1"/>
    <row r="111" spans="1:4" ht="23.25" customHeight="1">
      <c r="A111" s="183"/>
      <c r="B111" s="183"/>
      <c r="C111" s="183"/>
      <c r="D111" s="42"/>
    </row>
  </sheetData>
  <mergeCells count="16">
    <mergeCell ref="A81:B81"/>
    <mergeCell ref="A43:D43"/>
    <mergeCell ref="A89:C89"/>
    <mergeCell ref="A92:C92"/>
    <mergeCell ref="A73:B73"/>
    <mergeCell ref="E64:F64"/>
    <mergeCell ref="E65:F65"/>
    <mergeCell ref="A1:C1"/>
    <mergeCell ref="D1:E1"/>
    <mergeCell ref="A44:B44"/>
    <mergeCell ref="C44:D44"/>
    <mergeCell ref="A27:B27"/>
    <mergeCell ref="B30:C30"/>
    <mergeCell ref="B31:C31"/>
    <mergeCell ref="B36:C36"/>
    <mergeCell ref="B37:C37"/>
  </mergeCells>
  <printOptions horizontalCentered="1" verticalCentered="1"/>
  <pageMargins left="0.7" right="0.7" top="0.75" bottom="0.75" header="0.3" footer="0.3"/>
  <pageSetup scale="51" fitToHeight="0" orientation="landscape" horizontalDpi="4294967292" verticalDpi="4294967292" r:id="rId1"/>
  <headerFooter>
    <oddHeader>&amp;C&amp;"Times New Roman Bold,Bold"&amp;14&amp;K000000INVESTOR SHEET</oddHeader>
    <oddFooter>&amp;CPage &amp;P of &amp;N</oddFooter>
  </headerFooter>
  <rowBreaks count="2" manualBreakCount="2">
    <brk id="56" max="8" man="1"/>
    <brk id="85" max="8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FF04-8D76-415D-A91C-AFC9561002AF}">
  <sheetPr>
    <tabColor rgb="FF0070C0"/>
  </sheetPr>
  <dimension ref="A1:CF597"/>
  <sheetViews>
    <sheetView workbookViewId="0">
      <selection activeCell="F35" sqref="F35"/>
    </sheetView>
  </sheetViews>
  <sheetFormatPr defaultColWidth="8.85546875" defaultRowHeight="14.45"/>
  <cols>
    <col min="1" max="1" width="45.5703125" style="18" customWidth="1"/>
    <col min="2" max="2" width="21.42578125" style="18" customWidth="1"/>
    <col min="3" max="3" width="18.5703125" style="18" customWidth="1"/>
    <col min="4" max="4" width="15" style="18" customWidth="1"/>
    <col min="5" max="5" width="15.42578125" style="18" customWidth="1"/>
    <col min="6" max="6" width="18.140625" style="18" customWidth="1"/>
    <col min="7" max="7" width="14.42578125" style="162" customWidth="1"/>
    <col min="8" max="10" width="19" style="18" customWidth="1"/>
    <col min="11" max="11" width="17.85546875" style="18" customWidth="1"/>
    <col min="12" max="12" width="16.42578125" style="18" customWidth="1"/>
    <col min="13" max="13" width="12.42578125" style="18" customWidth="1"/>
    <col min="14" max="14" width="14.140625" style="18" customWidth="1"/>
    <col min="15" max="15" width="14.42578125" style="18" customWidth="1"/>
    <col min="16" max="16" width="15.42578125" style="18" customWidth="1"/>
    <col min="17" max="17" width="16.140625" style="18" customWidth="1"/>
    <col min="18" max="24" width="15.42578125" style="18" customWidth="1"/>
    <col min="25" max="25" width="16" style="18" customWidth="1"/>
    <col min="26" max="27" width="14" style="18" customWidth="1"/>
    <col min="28" max="28" width="12.85546875" style="18" hidden="1" customWidth="1"/>
    <col min="29" max="29" width="14.42578125" style="18" hidden="1" customWidth="1"/>
    <col min="30" max="30" width="12.5703125" style="18" hidden="1" customWidth="1"/>
    <col min="31" max="31" width="17" style="18" hidden="1" customWidth="1"/>
    <col min="32" max="32" width="16.42578125" style="18" hidden="1" customWidth="1"/>
    <col min="33" max="33" width="13.42578125" style="18" hidden="1" customWidth="1"/>
    <col min="34" max="34" width="15" style="18" hidden="1" customWidth="1"/>
    <col min="35" max="35" width="13.42578125" style="18" hidden="1" customWidth="1"/>
    <col min="36" max="36" width="16.85546875" style="163" hidden="1" customWidth="1"/>
    <col min="37" max="37" width="15" style="18" hidden="1" customWidth="1"/>
    <col min="38" max="38" width="16.140625" style="18" hidden="1" customWidth="1"/>
    <col min="39" max="39" width="13.42578125" style="163" hidden="1" customWidth="1"/>
    <col min="40" max="40" width="17.140625" style="18" hidden="1" customWidth="1"/>
    <col min="41" max="41" width="14.42578125" style="18" hidden="1" customWidth="1"/>
    <col min="42" max="42" width="17.5703125" style="18" hidden="1" customWidth="1"/>
    <col min="43" max="43" width="14.42578125" style="164" hidden="1" customWidth="1"/>
    <col min="44" max="44" width="14.85546875" style="18" hidden="1" customWidth="1"/>
    <col min="45" max="45" width="15" style="18" hidden="1" customWidth="1"/>
    <col min="46" max="55" width="15.140625" style="18" hidden="1" customWidth="1"/>
    <col min="56" max="56" width="21" style="18" customWidth="1"/>
    <col min="57" max="58" width="17" style="18" customWidth="1"/>
    <col min="59" max="81" width="17" customWidth="1"/>
    <col min="82" max="82" width="16.5703125" customWidth="1"/>
    <col min="83" max="83" width="15" style="18" customWidth="1"/>
    <col min="84" max="84" width="17.85546875" style="18" bestFit="1" customWidth="1"/>
    <col min="85" max="85" width="9.5703125" style="18" bestFit="1" customWidth="1"/>
    <col min="86" max="86" width="11.85546875" style="18" bestFit="1" customWidth="1"/>
    <col min="87" max="88" width="9.5703125" style="18" bestFit="1" customWidth="1"/>
    <col min="89" max="16384" width="8.85546875" style="18"/>
  </cols>
  <sheetData>
    <row r="1" spans="1:84" ht="15" thickBot="1">
      <c r="A1" s="465" t="str">
        <f>'Development Program'!B31</f>
        <v>Shopping Center &amp; Mixed Income Rentals</v>
      </c>
      <c r="B1" s="232" t="s">
        <v>348</v>
      </c>
      <c r="C1" s="218" t="str">
        <f>'Development Program'!C27</f>
        <v>Pre-Development</v>
      </c>
      <c r="D1" s="218" t="str">
        <f>'Development Program'!D27</f>
        <v>Demolition</v>
      </c>
      <c r="E1" s="218" t="str">
        <f>'Development Program'!E27</f>
        <v>Construction</v>
      </c>
      <c r="F1" s="219" t="str">
        <f>'Development Program'!F27</f>
        <v>Close-out</v>
      </c>
      <c r="G1" s="18"/>
      <c r="AJ1" s="18"/>
      <c r="AM1" s="18"/>
      <c r="AQ1" s="18"/>
      <c r="CE1"/>
      <c r="CF1"/>
    </row>
    <row r="2" spans="1:84" ht="15" thickBot="1">
      <c r="A2" s="466"/>
      <c r="B2" s="770" t="s">
        <v>349</v>
      </c>
      <c r="C2" s="772" t="str">
        <f>'Development Program'!C31</f>
        <v>01/1/27 to 12/31/27</v>
      </c>
      <c r="D2" s="772" t="str">
        <f>'Development Program'!D31</f>
        <v>1/1/28 to 6/30/28</v>
      </c>
      <c r="E2" s="772" t="str">
        <f>'Development Program'!E31</f>
        <v>7/1/28 to 6/30/31</v>
      </c>
      <c r="F2" s="923" t="str">
        <f>'Development Program'!F31</f>
        <v>7/1/31 to 12/31/31</v>
      </c>
      <c r="G2" s="18"/>
      <c r="H2" s="253" t="s">
        <v>350</v>
      </c>
      <c r="I2" s="253" t="s">
        <v>401</v>
      </c>
      <c r="J2" s="253" t="s">
        <v>402</v>
      </c>
      <c r="K2" s="253" t="s">
        <v>351</v>
      </c>
      <c r="Y2" s="253" t="s">
        <v>352</v>
      </c>
      <c r="Z2" s="254" t="s">
        <v>353</v>
      </c>
      <c r="AA2" s="254" t="s">
        <v>354</v>
      </c>
      <c r="AJ2" s="18"/>
      <c r="AM2" s="18"/>
      <c r="AN2" s="222"/>
      <c r="AQ2" s="18"/>
      <c r="BD2" s="470" t="s">
        <v>355</v>
      </c>
      <c r="BE2" s="470"/>
      <c r="BF2" s="470"/>
      <c r="CE2"/>
      <c r="CF2"/>
    </row>
    <row r="3" spans="1:84" ht="15" thickBot="1">
      <c r="A3" s="467"/>
      <c r="B3" s="166" t="s">
        <v>202</v>
      </c>
      <c r="C3" s="220">
        <v>46388</v>
      </c>
      <c r="D3" s="221">
        <f>EOMONTH(C3,2)</f>
        <v>46477</v>
      </c>
      <c r="E3" s="221">
        <f t="shared" ref="E3:G3" si="0">EOMONTH(D3,2)</f>
        <v>46538</v>
      </c>
      <c r="F3" s="221">
        <f t="shared" si="0"/>
        <v>46599</v>
      </c>
      <c r="G3" s="221">
        <f t="shared" si="0"/>
        <v>46660</v>
      </c>
      <c r="H3" s="774">
        <f t="shared" ref="H3:AS3" si="1">EOMONTH(G3,3)</f>
        <v>46752</v>
      </c>
      <c r="I3" s="774">
        <f>EOMONTH(H3,2)</f>
        <v>46812</v>
      </c>
      <c r="J3" s="774">
        <f t="shared" ref="J3" si="2">EOMONTH(I3,3)</f>
        <v>46904</v>
      </c>
      <c r="K3" s="774">
        <f>EOMONTH(H3,2)</f>
        <v>46812</v>
      </c>
      <c r="L3" s="774">
        <f>EOMONTH(I3,3)</f>
        <v>46904</v>
      </c>
      <c r="M3" s="774">
        <f t="shared" ref="M3:X3" si="3">EOMONTH(J3,3)</f>
        <v>46996</v>
      </c>
      <c r="N3" s="774">
        <f t="shared" si="3"/>
        <v>46904</v>
      </c>
      <c r="O3" s="774">
        <f t="shared" si="3"/>
        <v>46996</v>
      </c>
      <c r="P3" s="774">
        <f t="shared" si="3"/>
        <v>47087</v>
      </c>
      <c r="Q3" s="774">
        <f t="shared" si="3"/>
        <v>46996</v>
      </c>
      <c r="R3" s="774">
        <f t="shared" si="3"/>
        <v>47087</v>
      </c>
      <c r="S3" s="774">
        <f t="shared" si="3"/>
        <v>47177</v>
      </c>
      <c r="T3" s="774">
        <f t="shared" si="3"/>
        <v>47087</v>
      </c>
      <c r="U3" s="774">
        <f t="shared" si="3"/>
        <v>47177</v>
      </c>
      <c r="V3" s="774">
        <f t="shared" si="3"/>
        <v>47269</v>
      </c>
      <c r="W3" s="774">
        <f t="shared" si="3"/>
        <v>47177</v>
      </c>
      <c r="X3" s="774">
        <f t="shared" si="3"/>
        <v>47269</v>
      </c>
      <c r="Y3" s="774">
        <f>EOMONTH(R3,3)</f>
        <v>47177</v>
      </c>
      <c r="Z3" s="774">
        <f t="shared" si="1"/>
        <v>47269</v>
      </c>
      <c r="AA3" s="774">
        <f t="shared" si="1"/>
        <v>47361</v>
      </c>
      <c r="AB3" s="774">
        <f t="shared" si="1"/>
        <v>47452</v>
      </c>
      <c r="AC3" s="774">
        <f t="shared" si="1"/>
        <v>47542</v>
      </c>
      <c r="AD3" s="774">
        <f t="shared" si="1"/>
        <v>47634</v>
      </c>
      <c r="AE3" s="774">
        <f t="shared" si="1"/>
        <v>47726</v>
      </c>
      <c r="AF3" s="774">
        <f t="shared" si="1"/>
        <v>47817</v>
      </c>
      <c r="AG3" s="774">
        <f t="shared" si="1"/>
        <v>47907</v>
      </c>
      <c r="AH3" s="774">
        <f t="shared" si="1"/>
        <v>47999</v>
      </c>
      <c r="AI3" s="774">
        <f t="shared" si="1"/>
        <v>48091</v>
      </c>
      <c r="AJ3" s="774">
        <f t="shared" si="1"/>
        <v>48182</v>
      </c>
      <c r="AK3" s="774">
        <f t="shared" si="1"/>
        <v>48273</v>
      </c>
      <c r="AL3" s="774">
        <f t="shared" si="1"/>
        <v>48365</v>
      </c>
      <c r="AM3" s="774">
        <f t="shared" si="1"/>
        <v>48457</v>
      </c>
      <c r="AN3" s="774">
        <f t="shared" si="1"/>
        <v>48548</v>
      </c>
      <c r="AO3" s="774">
        <f t="shared" si="1"/>
        <v>48638</v>
      </c>
      <c r="AP3" s="774">
        <f t="shared" si="1"/>
        <v>48730</v>
      </c>
      <c r="AQ3" s="774">
        <f t="shared" si="1"/>
        <v>48822</v>
      </c>
      <c r="AR3" s="774">
        <f t="shared" si="1"/>
        <v>48913</v>
      </c>
      <c r="AS3" s="774">
        <f t="shared" si="1"/>
        <v>49003</v>
      </c>
      <c r="AT3" s="774">
        <f>EOMONTH(AS3,3)</f>
        <v>49095</v>
      </c>
      <c r="AU3" s="774">
        <f t="shared" ref="AU3:BC3" si="4">EOMONTH(AT3,3)</f>
        <v>49187</v>
      </c>
      <c r="AV3" s="774">
        <f t="shared" si="4"/>
        <v>49278</v>
      </c>
      <c r="AW3" s="774">
        <f t="shared" si="4"/>
        <v>49368</v>
      </c>
      <c r="AX3" s="774">
        <f t="shared" si="4"/>
        <v>49460</v>
      </c>
      <c r="AY3" s="774">
        <f t="shared" si="4"/>
        <v>49552</v>
      </c>
      <c r="AZ3" s="774">
        <f t="shared" si="4"/>
        <v>49643</v>
      </c>
      <c r="BA3" s="774">
        <f>EOMONTH(AZ3,3)</f>
        <v>49734</v>
      </c>
      <c r="BB3" s="774">
        <f t="shared" si="4"/>
        <v>49826</v>
      </c>
      <c r="BC3" s="774">
        <f t="shared" si="4"/>
        <v>49918</v>
      </c>
      <c r="BD3" s="774" t="s">
        <v>356</v>
      </c>
      <c r="BE3" s="876" t="s">
        <v>357</v>
      </c>
      <c r="BF3" s="776"/>
      <c r="CE3"/>
      <c r="CF3"/>
    </row>
    <row r="4" spans="1:84" ht="15" thickBot="1">
      <c r="A4" s="778" t="s">
        <v>358</v>
      </c>
      <c r="B4" s="779">
        <v>1</v>
      </c>
      <c r="C4" s="249">
        <v>0</v>
      </c>
      <c r="D4" s="249">
        <v>0</v>
      </c>
      <c r="E4" s="249">
        <v>0</v>
      </c>
      <c r="F4" s="249">
        <f t="shared" ref="F4:J4" si="5">E4</f>
        <v>0</v>
      </c>
      <c r="G4" s="248">
        <f t="shared" si="5"/>
        <v>0</v>
      </c>
      <c r="H4" s="248">
        <f t="shared" si="5"/>
        <v>0</v>
      </c>
      <c r="I4" s="248">
        <f t="shared" si="5"/>
        <v>0</v>
      </c>
      <c r="J4" s="248">
        <f t="shared" si="5"/>
        <v>0</v>
      </c>
      <c r="K4" s="248">
        <v>0.05</v>
      </c>
      <c r="L4" s="248">
        <v>0.05</v>
      </c>
      <c r="M4" s="248">
        <v>0.05</v>
      </c>
      <c r="N4" s="248">
        <v>0.05</v>
      </c>
      <c r="O4" s="248">
        <v>0.05</v>
      </c>
      <c r="P4" s="248">
        <v>0.05</v>
      </c>
      <c r="Q4" s="248">
        <v>0.05</v>
      </c>
      <c r="R4" s="248">
        <v>0.1</v>
      </c>
      <c r="S4" s="248">
        <v>0.1</v>
      </c>
      <c r="T4" s="248">
        <v>0.1</v>
      </c>
      <c r="U4" s="248">
        <v>0.1</v>
      </c>
      <c r="V4" s="248">
        <v>0.1</v>
      </c>
      <c r="W4" s="248">
        <v>0.1</v>
      </c>
      <c r="X4" s="248">
        <v>0.05</v>
      </c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780">
        <f>SUM(C4:AT4)</f>
        <v>0.99999999999999989</v>
      </c>
      <c r="BE4" s="781"/>
      <c r="BF4" s="782" t="s">
        <v>359</v>
      </c>
      <c r="CE4"/>
      <c r="CF4"/>
    </row>
    <row r="5" spans="1:84">
      <c r="A5" s="174" t="str">
        <f>'D Financial'!A46</f>
        <v>Hard Costs for Construction</v>
      </c>
      <c r="B5" s="924">
        <f>'D Financial'!C46</f>
        <v>40280000</v>
      </c>
      <c r="C5" s="784">
        <f t="shared" ref="C5:AA5" si="6">$B$5*C4</f>
        <v>0</v>
      </c>
      <c r="D5" s="784">
        <f t="shared" si="6"/>
        <v>0</v>
      </c>
      <c r="E5" s="784">
        <f t="shared" si="6"/>
        <v>0</v>
      </c>
      <c r="F5" s="784">
        <f t="shared" si="6"/>
        <v>0</v>
      </c>
      <c r="G5" s="784">
        <f t="shared" si="6"/>
        <v>0</v>
      </c>
      <c r="H5" s="784">
        <f t="shared" si="6"/>
        <v>0</v>
      </c>
      <c r="I5" s="784">
        <f t="shared" si="6"/>
        <v>0</v>
      </c>
      <c r="J5" s="784">
        <f t="shared" si="6"/>
        <v>0</v>
      </c>
      <c r="K5" s="784">
        <f t="shared" si="6"/>
        <v>2014000</v>
      </c>
      <c r="L5" s="784">
        <f t="shared" si="6"/>
        <v>2014000</v>
      </c>
      <c r="M5" s="784">
        <f t="shared" si="6"/>
        <v>2014000</v>
      </c>
      <c r="N5" s="784">
        <f t="shared" si="6"/>
        <v>2014000</v>
      </c>
      <c r="O5" s="784">
        <f t="shared" si="6"/>
        <v>2014000</v>
      </c>
      <c r="P5" s="784">
        <f t="shared" si="6"/>
        <v>2014000</v>
      </c>
      <c r="Q5" s="784">
        <f t="shared" si="6"/>
        <v>2014000</v>
      </c>
      <c r="R5" s="784">
        <f t="shared" si="6"/>
        <v>4028000</v>
      </c>
      <c r="S5" s="784">
        <f t="shared" ref="S5:U5" si="7">$B$5*S4</f>
        <v>4028000</v>
      </c>
      <c r="T5" s="784">
        <f t="shared" si="7"/>
        <v>4028000</v>
      </c>
      <c r="U5" s="784">
        <f t="shared" si="7"/>
        <v>4028000</v>
      </c>
      <c r="V5" s="784">
        <f t="shared" ref="V5:X5" si="8">$B$5*V4</f>
        <v>4028000</v>
      </c>
      <c r="W5" s="784">
        <f t="shared" si="8"/>
        <v>4028000</v>
      </c>
      <c r="X5" s="784">
        <f t="shared" si="8"/>
        <v>2014000</v>
      </c>
      <c r="Y5" s="784">
        <f t="shared" si="6"/>
        <v>0</v>
      </c>
      <c r="Z5" s="784">
        <f t="shared" si="6"/>
        <v>0</v>
      </c>
      <c r="AA5" s="784">
        <f t="shared" si="6"/>
        <v>0</v>
      </c>
      <c r="AB5" s="784"/>
      <c r="AC5" s="784"/>
      <c r="AD5" s="784"/>
      <c r="AE5" s="784"/>
      <c r="AF5" s="784"/>
      <c r="AG5" s="784"/>
      <c r="AH5" s="784"/>
      <c r="AI5" s="784"/>
      <c r="AJ5" s="784"/>
      <c r="AK5" s="784"/>
      <c r="AL5" s="784"/>
      <c r="AM5" s="784"/>
      <c r="AN5" s="784"/>
      <c r="AO5" s="784"/>
      <c r="AP5" s="784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785">
        <f>SUM(C5:AT5)</f>
        <v>40280000</v>
      </c>
      <c r="BE5" s="785">
        <f>B5</f>
        <v>40280000</v>
      </c>
      <c r="BF5" s="785">
        <f>BE5-BD5</f>
        <v>0</v>
      </c>
      <c r="CE5"/>
      <c r="CF5"/>
    </row>
    <row r="6" spans="1:84">
      <c r="A6" s="174" t="str">
        <f>'D Financial'!A47</f>
        <v>Parking (Mix: Covered and Surface)</v>
      </c>
      <c r="B6" s="924">
        <f>'D Financial'!C47</f>
        <v>27880000</v>
      </c>
      <c r="C6" s="784">
        <f>$B$6*C4</f>
        <v>0</v>
      </c>
      <c r="D6" s="784">
        <f t="shared" ref="D6:AA6" si="9">$B$6*D4</f>
        <v>0</v>
      </c>
      <c r="E6" s="784">
        <f t="shared" si="9"/>
        <v>0</v>
      </c>
      <c r="F6" s="784">
        <f t="shared" si="9"/>
        <v>0</v>
      </c>
      <c r="G6" s="784">
        <f t="shared" si="9"/>
        <v>0</v>
      </c>
      <c r="H6" s="784">
        <f t="shared" si="9"/>
        <v>0</v>
      </c>
      <c r="I6" s="784">
        <f t="shared" si="9"/>
        <v>0</v>
      </c>
      <c r="J6" s="784">
        <f t="shared" si="9"/>
        <v>0</v>
      </c>
      <c r="K6" s="784">
        <f t="shared" si="9"/>
        <v>1394000</v>
      </c>
      <c r="L6" s="784">
        <f t="shared" si="9"/>
        <v>1394000</v>
      </c>
      <c r="M6" s="784">
        <f t="shared" si="9"/>
        <v>1394000</v>
      </c>
      <c r="N6" s="784">
        <f t="shared" si="9"/>
        <v>1394000</v>
      </c>
      <c r="O6" s="784">
        <f t="shared" si="9"/>
        <v>1394000</v>
      </c>
      <c r="P6" s="784">
        <f t="shared" si="9"/>
        <v>1394000</v>
      </c>
      <c r="Q6" s="784">
        <f t="shared" si="9"/>
        <v>1394000</v>
      </c>
      <c r="R6" s="784">
        <f t="shared" si="9"/>
        <v>2788000</v>
      </c>
      <c r="S6" s="784">
        <f t="shared" ref="S6:U6" si="10">$B$6*S4</f>
        <v>2788000</v>
      </c>
      <c r="T6" s="784">
        <f t="shared" si="10"/>
        <v>2788000</v>
      </c>
      <c r="U6" s="784">
        <f t="shared" si="10"/>
        <v>2788000</v>
      </c>
      <c r="V6" s="784">
        <f t="shared" ref="V6:X6" si="11">$B$6*V4</f>
        <v>2788000</v>
      </c>
      <c r="W6" s="784">
        <f t="shared" si="11"/>
        <v>2788000</v>
      </c>
      <c r="X6" s="784">
        <f t="shared" si="11"/>
        <v>1394000</v>
      </c>
      <c r="Y6" s="784">
        <f t="shared" si="9"/>
        <v>0</v>
      </c>
      <c r="Z6" s="784">
        <f t="shared" si="9"/>
        <v>0</v>
      </c>
      <c r="AA6" s="784">
        <f t="shared" si="9"/>
        <v>0</v>
      </c>
      <c r="AB6" s="784"/>
      <c r="AC6" s="784"/>
      <c r="AD6" s="784"/>
      <c r="AE6" s="784"/>
      <c r="AF6" s="784"/>
      <c r="AG6" s="784"/>
      <c r="AH6" s="784"/>
      <c r="AI6" s="784"/>
      <c r="AJ6" s="784"/>
      <c r="AK6" s="784"/>
      <c r="AL6" s="784"/>
      <c r="AM6" s="784"/>
      <c r="AN6" s="784"/>
      <c r="AO6" s="784"/>
      <c r="AP6" s="784"/>
      <c r="AQ6" s="784"/>
      <c r="AR6" s="784"/>
      <c r="AS6" s="784"/>
      <c r="AT6" s="784"/>
      <c r="AU6" s="784"/>
      <c r="AV6" s="784"/>
      <c r="AW6" s="784"/>
      <c r="AX6" s="784"/>
      <c r="AY6" s="784"/>
      <c r="AZ6" s="784"/>
      <c r="BA6" s="784"/>
      <c r="BB6" s="784"/>
      <c r="BC6" s="784"/>
      <c r="BD6" s="785">
        <f>SUM(C6:AT6)</f>
        <v>27880000</v>
      </c>
      <c r="BE6" s="785">
        <f>B6</f>
        <v>27880000</v>
      </c>
      <c r="BF6" s="785">
        <f t="shared" ref="BF6:BF24" si="12">BE6-BD6</f>
        <v>0</v>
      </c>
      <c r="CE6"/>
      <c r="CF6"/>
    </row>
    <row r="7" spans="1:84">
      <c r="A7" s="174" t="str">
        <f>'D Financial'!A48</f>
        <v>Hard Cost Contingency</v>
      </c>
      <c r="B7" s="924">
        <f>'D Financial'!C48</f>
        <v>2819600.0000000005</v>
      </c>
      <c r="C7" s="784">
        <f t="shared" ref="C7:Y7" si="13">$B7*C$4</f>
        <v>0</v>
      </c>
      <c r="D7" s="784">
        <f t="shared" si="13"/>
        <v>0</v>
      </c>
      <c r="E7" s="784">
        <f t="shared" si="13"/>
        <v>0</v>
      </c>
      <c r="F7" s="784">
        <f t="shared" si="13"/>
        <v>0</v>
      </c>
      <c r="G7" s="784">
        <f t="shared" si="13"/>
        <v>0</v>
      </c>
      <c r="H7" s="784">
        <f t="shared" si="13"/>
        <v>0</v>
      </c>
      <c r="I7" s="784">
        <f t="shared" si="13"/>
        <v>0</v>
      </c>
      <c r="J7" s="784">
        <f t="shared" si="13"/>
        <v>0</v>
      </c>
      <c r="K7" s="784">
        <f t="shared" si="13"/>
        <v>140980.00000000003</v>
      </c>
      <c r="L7" s="784">
        <f t="shared" si="13"/>
        <v>140980.00000000003</v>
      </c>
      <c r="M7" s="784">
        <f t="shared" si="13"/>
        <v>140980.00000000003</v>
      </c>
      <c r="N7" s="784">
        <f t="shared" si="13"/>
        <v>140980.00000000003</v>
      </c>
      <c r="O7" s="784">
        <f t="shared" si="13"/>
        <v>140980.00000000003</v>
      </c>
      <c r="P7" s="784">
        <f t="shared" si="13"/>
        <v>140980.00000000003</v>
      </c>
      <c r="Q7" s="784">
        <f t="shared" si="13"/>
        <v>140980.00000000003</v>
      </c>
      <c r="R7" s="784">
        <f t="shared" si="13"/>
        <v>281960.00000000006</v>
      </c>
      <c r="S7" s="784">
        <f t="shared" si="13"/>
        <v>281960.00000000006</v>
      </c>
      <c r="T7" s="784">
        <f t="shared" si="13"/>
        <v>281960.00000000006</v>
      </c>
      <c r="U7" s="784">
        <f t="shared" si="13"/>
        <v>281960.00000000006</v>
      </c>
      <c r="V7" s="784">
        <f t="shared" si="13"/>
        <v>281960.00000000006</v>
      </c>
      <c r="W7" s="784">
        <f t="shared" si="13"/>
        <v>281960.00000000006</v>
      </c>
      <c r="X7" s="784">
        <f t="shared" si="13"/>
        <v>140980.00000000003</v>
      </c>
      <c r="Y7" s="784">
        <f t="shared" si="13"/>
        <v>0</v>
      </c>
      <c r="Z7" s="784">
        <f>$B7*Z$4</f>
        <v>0</v>
      </c>
      <c r="AA7" s="784">
        <f t="shared" ref="AA7" si="14">$B7*AA$4</f>
        <v>0</v>
      </c>
      <c r="AB7" s="784"/>
      <c r="AC7" s="784"/>
      <c r="AD7" s="784"/>
      <c r="AE7" s="784"/>
      <c r="AF7" s="784"/>
      <c r="AG7" s="784"/>
      <c r="AH7" s="784"/>
      <c r="AI7" s="784"/>
      <c r="AJ7" s="784"/>
      <c r="AK7" s="784"/>
      <c r="AL7" s="784"/>
      <c r="AM7" s="784"/>
      <c r="AN7" s="784"/>
      <c r="AO7" s="784"/>
      <c r="AP7" s="784"/>
      <c r="AQ7" s="784"/>
      <c r="AR7" s="784"/>
      <c r="AS7" s="784"/>
      <c r="AT7" s="784"/>
      <c r="AU7" s="784"/>
      <c r="AV7" s="784"/>
      <c r="AW7" s="784"/>
      <c r="AX7" s="784"/>
      <c r="AY7" s="784"/>
      <c r="AZ7" s="784"/>
      <c r="BA7" s="784"/>
      <c r="BB7" s="784"/>
      <c r="BC7" s="784"/>
      <c r="BD7" s="785">
        <f>SUM(C7:AT7)</f>
        <v>2819600.0000000005</v>
      </c>
      <c r="BE7" s="785">
        <f>B7</f>
        <v>2819600.0000000005</v>
      </c>
      <c r="BF7" s="785">
        <f t="shared" si="12"/>
        <v>0</v>
      </c>
      <c r="CE7"/>
      <c r="CF7"/>
    </row>
    <row r="8" spans="1:84">
      <c r="A8" s="174" t="str">
        <f>'D Financial'!A49</f>
        <v>Demolition</v>
      </c>
      <c r="B8" s="924">
        <f>'D Financial'!C49</f>
        <v>1792000</v>
      </c>
      <c r="C8" s="784"/>
      <c r="D8" s="784"/>
      <c r="E8" s="784"/>
      <c r="F8" s="784"/>
      <c r="G8" s="784"/>
      <c r="H8" s="784"/>
      <c r="I8" s="784"/>
      <c r="J8" s="784">
        <f>B8</f>
        <v>1792000</v>
      </c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4"/>
      <c r="Z8" s="784"/>
      <c r="AA8" s="784"/>
      <c r="AB8" s="784"/>
      <c r="AC8" s="784"/>
      <c r="AD8" s="784"/>
      <c r="AE8" s="784"/>
      <c r="AF8" s="784"/>
      <c r="AG8" s="784"/>
      <c r="AH8" s="784"/>
      <c r="AI8" s="784"/>
      <c r="AJ8" s="784"/>
      <c r="AK8" s="784"/>
      <c r="AL8" s="784"/>
      <c r="AM8" s="784"/>
      <c r="AN8" s="784"/>
      <c r="AO8" s="784"/>
      <c r="AP8" s="784"/>
      <c r="AQ8" s="784"/>
      <c r="AR8" s="784"/>
      <c r="AS8" s="784"/>
      <c r="AT8" s="784"/>
      <c r="AU8" s="784"/>
      <c r="AV8" s="784"/>
      <c r="AW8" s="784"/>
      <c r="AX8" s="784"/>
      <c r="AY8" s="784"/>
      <c r="AZ8" s="784"/>
      <c r="BA8" s="784"/>
      <c r="BB8" s="784"/>
      <c r="BC8" s="784"/>
      <c r="BD8" s="785"/>
      <c r="BE8" s="785"/>
      <c r="BF8" s="785">
        <f t="shared" si="12"/>
        <v>0</v>
      </c>
      <c r="CE8"/>
      <c r="CF8"/>
    </row>
    <row r="9" spans="1:84">
      <c r="A9" s="174" t="str">
        <f>'D Financial'!A50</f>
        <v>LAND</v>
      </c>
      <c r="B9" s="785">
        <f>'D Financial'!C50</f>
        <v>1829933.8200000003</v>
      </c>
      <c r="C9" s="787"/>
      <c r="D9" s="786"/>
      <c r="E9" s="788">
        <f>0.1*B9</f>
        <v>182993.38200000004</v>
      </c>
      <c r="F9" s="784"/>
      <c r="G9" s="787"/>
      <c r="H9" s="787"/>
      <c r="I9" s="787"/>
      <c r="J9" s="788"/>
      <c r="K9" s="788">
        <f>$B9-$E9</f>
        <v>1646940.4380000003</v>
      </c>
      <c r="L9" s="788"/>
      <c r="M9" s="786"/>
      <c r="N9" s="786"/>
      <c r="O9" s="789"/>
      <c r="P9" s="786"/>
      <c r="Q9" s="786"/>
      <c r="R9" s="786"/>
      <c r="S9" s="786"/>
      <c r="T9" s="78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786"/>
      <c r="AF9" s="786"/>
      <c r="AG9" s="786"/>
      <c r="AH9" s="786"/>
      <c r="AI9" s="786"/>
      <c r="AJ9" s="786"/>
      <c r="AK9" s="786"/>
      <c r="AL9" s="786"/>
      <c r="AM9" s="879"/>
      <c r="AN9" s="879"/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  <c r="BB9" s="879"/>
      <c r="BC9" s="879"/>
      <c r="BD9" s="785">
        <f>SUM(D9:AT9)</f>
        <v>1829933.8200000003</v>
      </c>
      <c r="BE9" s="785">
        <f t="shared" ref="BE9:BE24" si="15">B9</f>
        <v>1829933.8200000003</v>
      </c>
      <c r="BF9" s="785">
        <f t="shared" si="12"/>
        <v>0</v>
      </c>
      <c r="CE9"/>
      <c r="CF9"/>
    </row>
    <row r="10" spans="1:84">
      <c r="A10" s="174" t="str">
        <f>'D Financial'!A51</f>
        <v>Municipal Fees and Allowances</v>
      </c>
      <c r="B10" s="924">
        <f>'D Financial'!C51</f>
        <v>663480</v>
      </c>
      <c r="C10" s="789"/>
      <c r="D10" s="786"/>
      <c r="E10" s="784"/>
      <c r="F10" s="784"/>
      <c r="G10" s="784"/>
      <c r="H10" s="787"/>
      <c r="I10" s="784"/>
      <c r="J10" s="784"/>
      <c r="K10" s="784">
        <f>$B10</f>
        <v>663480</v>
      </c>
      <c r="L10" s="784"/>
      <c r="M10" s="786"/>
      <c r="N10" s="786"/>
      <c r="O10" s="786"/>
      <c r="P10" s="786"/>
      <c r="Q10" s="786"/>
      <c r="R10" s="786"/>
      <c r="S10" s="786"/>
      <c r="T10" s="786"/>
      <c r="U10" s="786"/>
      <c r="V10" s="786"/>
      <c r="W10" s="786"/>
      <c r="X10" s="786"/>
      <c r="Y10" s="786"/>
      <c r="Z10" s="786"/>
      <c r="AA10" s="251"/>
      <c r="AB10" s="786"/>
      <c r="AC10" s="786"/>
      <c r="AD10" s="786"/>
      <c r="AE10" s="786"/>
      <c r="AF10" s="786"/>
      <c r="AG10" s="786"/>
      <c r="AH10" s="786"/>
      <c r="AI10" s="786"/>
      <c r="AJ10" s="786"/>
      <c r="AK10" s="786"/>
      <c r="AL10" s="786"/>
      <c r="AM10" s="879"/>
      <c r="AN10" s="879"/>
      <c r="AO10" s="879"/>
      <c r="AP10" s="879"/>
      <c r="AQ10" s="879"/>
      <c r="AR10" s="879"/>
      <c r="AS10" s="880"/>
      <c r="AT10" s="879"/>
      <c r="AU10" s="879"/>
      <c r="AV10" s="879"/>
      <c r="AW10" s="879"/>
      <c r="AX10" s="879"/>
      <c r="AY10" s="879"/>
      <c r="AZ10" s="879"/>
      <c r="BA10" s="879"/>
      <c r="BB10" s="879"/>
      <c r="BC10" s="879"/>
      <c r="BD10" s="785">
        <f t="shared" ref="BD10:BD24" si="16">SUM(C10:AT10)</f>
        <v>663480</v>
      </c>
      <c r="BE10" s="785">
        <f t="shared" si="15"/>
        <v>663480</v>
      </c>
      <c r="BF10" s="785">
        <f t="shared" si="12"/>
        <v>0</v>
      </c>
      <c r="CE10"/>
      <c r="CF10"/>
    </row>
    <row r="11" spans="1:84">
      <c r="A11" s="174" t="str">
        <f>'D Financial'!A52</f>
        <v>Infrastructure allocation</v>
      </c>
      <c r="B11" s="924">
        <f>'D Financial'!C52</f>
        <v>1225000</v>
      </c>
      <c r="C11" s="789"/>
      <c r="D11" s="786"/>
      <c r="E11" s="784"/>
      <c r="F11" s="784"/>
      <c r="G11" s="784"/>
      <c r="H11" s="784"/>
      <c r="I11" s="784"/>
      <c r="J11" s="784"/>
      <c r="K11" s="784"/>
      <c r="L11" s="784"/>
      <c r="M11" s="786"/>
      <c r="N11" s="786"/>
      <c r="O11" s="786"/>
      <c r="P11" s="786"/>
      <c r="Q11" s="786"/>
      <c r="R11" s="786"/>
      <c r="S11" s="786">
        <f>$B11/2</f>
        <v>612500</v>
      </c>
      <c r="T11" s="786">
        <f>$B11/2</f>
        <v>612500</v>
      </c>
      <c r="U11" s="786"/>
      <c r="V11" s="786"/>
      <c r="W11" s="786"/>
      <c r="X11" s="786"/>
      <c r="Y11" s="786"/>
      <c r="Z11" s="786"/>
      <c r="AA11" s="251"/>
      <c r="AB11" s="786"/>
      <c r="AC11" s="786"/>
      <c r="AD11" s="786"/>
      <c r="AE11" s="786"/>
      <c r="AF11" s="786"/>
      <c r="AG11" s="786"/>
      <c r="AH11" s="786"/>
      <c r="AI11" s="786"/>
      <c r="AJ11" s="786"/>
      <c r="AK11" s="786"/>
      <c r="AL11" s="786"/>
      <c r="AM11" s="879"/>
      <c r="AN11" s="879"/>
      <c r="AO11" s="879"/>
      <c r="AP11" s="879"/>
      <c r="AQ11" s="879"/>
      <c r="AR11" s="879"/>
      <c r="AS11" s="880"/>
      <c r="AT11" s="879"/>
      <c r="AU11" s="879"/>
      <c r="AV11" s="879"/>
      <c r="AW11" s="879"/>
      <c r="AX11" s="879"/>
      <c r="AY11" s="879"/>
      <c r="AZ11" s="879"/>
      <c r="BA11" s="879"/>
      <c r="BB11" s="879"/>
      <c r="BC11" s="879"/>
      <c r="BD11" s="785">
        <f t="shared" si="16"/>
        <v>1225000</v>
      </c>
      <c r="BE11" s="785">
        <f t="shared" si="15"/>
        <v>1225000</v>
      </c>
      <c r="BF11" s="785">
        <f t="shared" si="12"/>
        <v>0</v>
      </c>
      <c r="CE11"/>
      <c r="CF11"/>
    </row>
    <row r="12" spans="1:84">
      <c r="A12" s="174" t="str">
        <f>'D Financial'!A53</f>
        <v>Legal</v>
      </c>
      <c r="B12" s="924">
        <f>'D Financial'!C53</f>
        <v>894000</v>
      </c>
      <c r="C12" s="789"/>
      <c r="D12" s="789"/>
      <c r="E12" s="788">
        <v>178000</v>
      </c>
      <c r="F12" s="788">
        <f t="shared" ref="F12:G12" si="17">0.2*$B12</f>
        <v>178800</v>
      </c>
      <c r="G12" s="788">
        <f t="shared" si="17"/>
        <v>178800</v>
      </c>
      <c r="H12" s="788">
        <v>80000</v>
      </c>
      <c r="I12" s="788">
        <v>50000</v>
      </c>
      <c r="J12" s="788">
        <v>50000</v>
      </c>
      <c r="K12" s="788">
        <f>0.1*$B12</f>
        <v>89400</v>
      </c>
      <c r="L12" s="788">
        <v>89000</v>
      </c>
      <c r="M12" s="786"/>
      <c r="N12" s="786"/>
      <c r="O12" s="786"/>
      <c r="P12" s="786"/>
      <c r="Q12" s="786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6"/>
      <c r="AE12" s="786"/>
      <c r="AF12" s="786"/>
      <c r="AG12" s="786"/>
      <c r="AH12" s="786"/>
      <c r="AI12" s="786"/>
      <c r="AJ12" s="786"/>
      <c r="AK12" s="786"/>
      <c r="AL12" s="786"/>
      <c r="AM12" s="786"/>
      <c r="AN12" s="786"/>
      <c r="AO12" s="786"/>
      <c r="AP12" s="786"/>
      <c r="AQ12" s="786"/>
      <c r="AR12" s="786"/>
      <c r="AS12" s="883"/>
      <c r="AT12" s="786"/>
      <c r="AU12" s="786"/>
      <c r="AV12" s="786"/>
      <c r="AW12" s="786"/>
      <c r="AX12" s="786"/>
      <c r="AY12" s="786"/>
      <c r="AZ12" s="786"/>
      <c r="BA12" s="786"/>
      <c r="BB12" s="786"/>
      <c r="BC12" s="786"/>
      <c r="BD12" s="785">
        <f t="shared" si="16"/>
        <v>894000</v>
      </c>
      <c r="BE12" s="785">
        <f t="shared" si="15"/>
        <v>894000</v>
      </c>
      <c r="BF12" s="785">
        <f t="shared" si="12"/>
        <v>0</v>
      </c>
      <c r="CE12"/>
      <c r="CF12"/>
    </row>
    <row r="13" spans="1:84">
      <c r="A13" s="174" t="str">
        <f>'D Financial'!A54</f>
        <v>Land Closing Costs/commissions</v>
      </c>
      <c r="B13" s="924">
        <f>'D Financial'!C54</f>
        <v>300000</v>
      </c>
      <c r="C13" s="788"/>
      <c r="D13" s="784"/>
      <c r="E13" s="784"/>
      <c r="F13" s="784"/>
      <c r="G13" s="250"/>
      <c r="H13" s="784"/>
      <c r="I13" s="784"/>
      <c r="J13" s="784"/>
      <c r="K13" s="784">
        <f>B13</f>
        <v>300000</v>
      </c>
      <c r="L13" s="784"/>
      <c r="M13" s="784"/>
      <c r="N13" s="784"/>
      <c r="O13" s="250"/>
      <c r="P13" s="784"/>
      <c r="Q13" s="784"/>
      <c r="R13" s="784"/>
      <c r="S13" s="784"/>
      <c r="T13" s="784"/>
      <c r="U13" s="784"/>
      <c r="V13" s="784"/>
      <c r="W13" s="784"/>
      <c r="X13" s="784"/>
      <c r="Y13" s="784"/>
      <c r="Z13" s="784"/>
      <c r="AA13" s="784"/>
      <c r="AB13" s="784"/>
      <c r="AC13" s="784"/>
      <c r="AD13" s="784"/>
      <c r="AE13" s="784"/>
      <c r="AF13" s="784"/>
      <c r="AG13" s="784"/>
      <c r="AH13" s="784"/>
      <c r="AI13" s="784"/>
      <c r="AJ13" s="784"/>
      <c r="AK13" s="784"/>
      <c r="AL13" s="784"/>
      <c r="AM13" s="787"/>
      <c r="AN13" s="787"/>
      <c r="AO13" s="787"/>
      <c r="AP13" s="787"/>
      <c r="AQ13" s="787"/>
      <c r="AR13" s="787"/>
      <c r="AS13" s="885"/>
      <c r="AT13" s="787"/>
      <c r="AU13" s="787"/>
      <c r="AV13" s="787"/>
      <c r="AW13" s="787"/>
      <c r="AX13" s="787"/>
      <c r="AY13" s="787"/>
      <c r="AZ13" s="787"/>
      <c r="BA13" s="787"/>
      <c r="BB13" s="787"/>
      <c r="BC13" s="787"/>
      <c r="BD13" s="785">
        <f t="shared" si="16"/>
        <v>300000</v>
      </c>
      <c r="BE13" s="785">
        <f t="shared" si="15"/>
        <v>300000</v>
      </c>
      <c r="BF13" s="785">
        <f t="shared" si="12"/>
        <v>0</v>
      </c>
      <c r="CE13"/>
      <c r="CF13"/>
    </row>
    <row r="14" spans="1:84">
      <c r="A14" s="174" t="str">
        <f>'D Financial'!A56</f>
        <v xml:space="preserve">Design </v>
      </c>
      <c r="B14" s="924">
        <f>'D Financial'!C56</f>
        <v>1723984</v>
      </c>
      <c r="C14" s="784"/>
      <c r="D14" s="784"/>
      <c r="E14" s="784">
        <f>0.4*$B14</f>
        <v>689593.60000000009</v>
      </c>
      <c r="F14" s="784">
        <f>0.35*$B14</f>
        <v>603394.39999999991</v>
      </c>
      <c r="G14" s="784">
        <f>0.1*$B14</f>
        <v>172398.40000000002</v>
      </c>
      <c r="H14" s="784">
        <f>0.055*$B14</f>
        <v>94819.12</v>
      </c>
      <c r="I14" s="784">
        <f>0.05*$B14</f>
        <v>86199.200000000012</v>
      </c>
      <c r="J14" s="784">
        <f>0.02*$B14</f>
        <v>34479.68</v>
      </c>
      <c r="K14" s="784">
        <f>0.025*$B14</f>
        <v>43099.600000000006</v>
      </c>
      <c r="L14" s="784"/>
      <c r="M14" s="784"/>
      <c r="N14" s="784"/>
      <c r="O14" s="784"/>
      <c r="P14" s="784"/>
      <c r="Q14" s="784"/>
      <c r="R14" s="784"/>
      <c r="S14" s="784"/>
      <c r="T14" s="784"/>
      <c r="U14" s="784"/>
      <c r="V14" s="784"/>
      <c r="W14" s="784"/>
      <c r="X14" s="784"/>
      <c r="Y14" s="784"/>
      <c r="Z14" s="784"/>
      <c r="AA14" s="784"/>
      <c r="AB14" s="784"/>
      <c r="AC14" s="784"/>
      <c r="AD14" s="784"/>
      <c r="AE14" s="784"/>
      <c r="AF14" s="784"/>
      <c r="AG14" s="784"/>
      <c r="AH14" s="784"/>
      <c r="AI14" s="784"/>
      <c r="AJ14" s="784"/>
      <c r="AK14" s="784"/>
      <c r="AL14" s="784"/>
      <c r="AM14" s="784"/>
      <c r="AN14" s="784"/>
      <c r="AO14" s="784"/>
      <c r="AP14" s="784"/>
      <c r="AQ14" s="784"/>
      <c r="AR14" s="784"/>
      <c r="AS14" s="784"/>
      <c r="AT14" s="784"/>
      <c r="AU14" s="784"/>
      <c r="AV14" s="784"/>
      <c r="AW14" s="784"/>
      <c r="AX14" s="784"/>
      <c r="AY14" s="784"/>
      <c r="AZ14" s="784"/>
      <c r="BA14" s="784"/>
      <c r="BB14" s="784"/>
      <c r="BC14" s="784"/>
      <c r="BD14" s="785">
        <f t="shared" si="16"/>
        <v>1723984</v>
      </c>
      <c r="BE14" s="785">
        <f t="shared" si="15"/>
        <v>1723984</v>
      </c>
      <c r="BF14" s="785">
        <f t="shared" si="12"/>
        <v>0</v>
      </c>
      <c r="CE14"/>
      <c r="CF14"/>
    </row>
    <row r="15" spans="1:84">
      <c r="A15" s="174" t="str">
        <f>'D Financial'!A57</f>
        <v>Developer Fee</v>
      </c>
      <c r="B15" s="924">
        <f>'D Financial'!C57</f>
        <v>2401776.5945999995</v>
      </c>
      <c r="C15" s="784">
        <f>$B15*C$4</f>
        <v>0</v>
      </c>
      <c r="D15" s="784">
        <f t="shared" ref="D15:G15" si="18">$B15*D4</f>
        <v>0</v>
      </c>
      <c r="E15" s="784">
        <f t="shared" si="18"/>
        <v>0</v>
      </c>
      <c r="F15" s="784">
        <f t="shared" si="18"/>
        <v>0</v>
      </c>
      <c r="G15" s="784">
        <f t="shared" si="18"/>
        <v>0</v>
      </c>
      <c r="H15" s="784"/>
      <c r="I15" s="784"/>
      <c r="J15" s="784"/>
      <c r="K15" s="784">
        <f t="shared" ref="K15:AA16" si="19">$B15*K$4</f>
        <v>120088.82972999998</v>
      </c>
      <c r="L15" s="784">
        <f t="shared" si="19"/>
        <v>120088.82972999998</v>
      </c>
      <c r="M15" s="784">
        <f t="shared" si="19"/>
        <v>120088.82972999998</v>
      </c>
      <c r="N15" s="784">
        <f t="shared" si="19"/>
        <v>120088.82972999998</v>
      </c>
      <c r="O15" s="784">
        <f t="shared" si="19"/>
        <v>120088.82972999998</v>
      </c>
      <c r="P15" s="784">
        <f t="shared" si="19"/>
        <v>120088.82972999998</v>
      </c>
      <c r="Q15" s="784">
        <f t="shared" si="19"/>
        <v>120088.82972999998</v>
      </c>
      <c r="R15" s="784">
        <f t="shared" si="19"/>
        <v>240177.65945999997</v>
      </c>
      <c r="S15" s="784">
        <f t="shared" si="19"/>
        <v>240177.65945999997</v>
      </c>
      <c r="T15" s="784">
        <f t="shared" si="19"/>
        <v>240177.65945999997</v>
      </c>
      <c r="U15" s="784">
        <f t="shared" si="19"/>
        <v>240177.65945999997</v>
      </c>
      <c r="V15" s="784">
        <f t="shared" si="19"/>
        <v>240177.65945999997</v>
      </c>
      <c r="W15" s="784">
        <f t="shared" si="19"/>
        <v>240177.65945999997</v>
      </c>
      <c r="X15" s="784">
        <f t="shared" si="19"/>
        <v>120088.82972999998</v>
      </c>
      <c r="Y15" s="784">
        <f t="shared" si="19"/>
        <v>0</v>
      </c>
      <c r="Z15" s="784">
        <f t="shared" si="19"/>
        <v>0</v>
      </c>
      <c r="AA15" s="784">
        <f t="shared" si="19"/>
        <v>0</v>
      </c>
      <c r="AB15" s="784"/>
      <c r="AC15" s="784"/>
      <c r="AD15" s="784"/>
      <c r="AE15" s="784"/>
      <c r="AF15" s="784"/>
      <c r="AG15" s="784"/>
      <c r="AH15" s="784"/>
      <c r="AI15" s="784"/>
      <c r="AJ15" s="784"/>
      <c r="AK15" s="784"/>
      <c r="AL15" s="784"/>
      <c r="AM15" s="784"/>
      <c r="AN15" s="784"/>
      <c r="AO15" s="784"/>
      <c r="AP15" s="784"/>
      <c r="AQ15" s="784"/>
      <c r="AR15" s="784"/>
      <c r="AS15" s="784"/>
      <c r="AT15" s="784"/>
      <c r="AU15" s="784"/>
      <c r="AV15" s="784"/>
      <c r="AW15" s="784"/>
      <c r="AX15" s="784"/>
      <c r="AY15" s="784"/>
      <c r="AZ15" s="784"/>
      <c r="BA15" s="784"/>
      <c r="BB15" s="784"/>
      <c r="BC15" s="784"/>
      <c r="BD15" s="785">
        <f t="shared" si="16"/>
        <v>2401776.5945999995</v>
      </c>
      <c r="BE15" s="785">
        <f t="shared" si="15"/>
        <v>2401776.5945999995</v>
      </c>
      <c r="BF15" s="785">
        <f t="shared" si="12"/>
        <v>0</v>
      </c>
      <c r="CE15"/>
      <c r="CF15"/>
    </row>
    <row r="16" spans="1:84">
      <c r="A16" s="174" t="str">
        <f>'D Financial'!A58</f>
        <v>Construction Management Fee</v>
      </c>
      <c r="B16" s="924">
        <f>'D Financial'!C58</f>
        <v>861992</v>
      </c>
      <c r="C16" s="784">
        <f>$B16*C$4</f>
        <v>0</v>
      </c>
      <c r="D16" s="784">
        <f t="shared" ref="D16:G16" si="20">$B16*D$4</f>
        <v>0</v>
      </c>
      <c r="E16" s="784">
        <f t="shared" si="20"/>
        <v>0</v>
      </c>
      <c r="F16" s="784">
        <f t="shared" si="20"/>
        <v>0</v>
      </c>
      <c r="G16" s="784">
        <f t="shared" si="20"/>
        <v>0</v>
      </c>
      <c r="H16" s="784"/>
      <c r="I16" s="784"/>
      <c r="J16" s="784"/>
      <c r="K16" s="784">
        <f t="shared" si="19"/>
        <v>43099.600000000006</v>
      </c>
      <c r="L16" s="784">
        <f t="shared" si="19"/>
        <v>43099.600000000006</v>
      </c>
      <c r="M16" s="784">
        <f t="shared" si="19"/>
        <v>43099.600000000006</v>
      </c>
      <c r="N16" s="784">
        <f t="shared" si="19"/>
        <v>43099.600000000006</v>
      </c>
      <c r="O16" s="784">
        <f t="shared" si="19"/>
        <v>43099.600000000006</v>
      </c>
      <c r="P16" s="784">
        <f t="shared" si="19"/>
        <v>43099.600000000006</v>
      </c>
      <c r="Q16" s="784">
        <f t="shared" si="19"/>
        <v>43099.600000000006</v>
      </c>
      <c r="R16" s="784">
        <f t="shared" si="19"/>
        <v>86199.200000000012</v>
      </c>
      <c r="S16" s="784">
        <f t="shared" si="19"/>
        <v>86199.200000000012</v>
      </c>
      <c r="T16" s="784">
        <f t="shared" si="19"/>
        <v>86199.200000000012</v>
      </c>
      <c r="U16" s="784">
        <f t="shared" si="19"/>
        <v>86199.200000000012</v>
      </c>
      <c r="V16" s="784">
        <f t="shared" si="19"/>
        <v>86199.200000000012</v>
      </c>
      <c r="W16" s="784">
        <f t="shared" si="19"/>
        <v>86199.200000000012</v>
      </c>
      <c r="X16" s="784">
        <f t="shared" si="19"/>
        <v>43099.600000000006</v>
      </c>
      <c r="Y16" s="784">
        <f t="shared" si="19"/>
        <v>0</v>
      </c>
      <c r="Z16" s="784">
        <f t="shared" si="19"/>
        <v>0</v>
      </c>
      <c r="AA16" s="784">
        <f t="shared" si="19"/>
        <v>0</v>
      </c>
      <c r="AB16" s="784"/>
      <c r="AC16" s="784"/>
      <c r="AD16" s="784"/>
      <c r="AE16" s="784"/>
      <c r="AF16" s="784"/>
      <c r="AG16" s="784"/>
      <c r="AH16" s="784"/>
      <c r="AI16" s="784"/>
      <c r="AJ16" s="784"/>
      <c r="AK16" s="784"/>
      <c r="AL16" s="784"/>
      <c r="AM16" s="784"/>
      <c r="AN16" s="784"/>
      <c r="AO16" s="784"/>
      <c r="AP16" s="784"/>
      <c r="AQ16" s="784"/>
      <c r="AR16" s="784"/>
      <c r="AS16" s="784"/>
      <c r="AT16" s="784"/>
      <c r="AU16" s="784"/>
      <c r="AV16" s="784"/>
      <c r="AW16" s="784"/>
      <c r="AX16" s="784"/>
      <c r="AY16" s="784"/>
      <c r="AZ16" s="784"/>
      <c r="BA16" s="784"/>
      <c r="BB16" s="784"/>
      <c r="BC16" s="784"/>
      <c r="BD16" s="785">
        <f t="shared" si="16"/>
        <v>861991.99999999988</v>
      </c>
      <c r="BE16" s="785">
        <f t="shared" si="15"/>
        <v>861992</v>
      </c>
      <c r="BF16" s="785">
        <f t="shared" si="12"/>
        <v>0</v>
      </c>
      <c r="CE16"/>
      <c r="CF16"/>
    </row>
    <row r="17" spans="1:84">
      <c r="A17" s="174" t="str">
        <f>'D Financial'!A59</f>
        <v>Taxes</v>
      </c>
      <c r="B17" s="924">
        <f>'D Financial'!C59</f>
        <v>2604436.0652112677</v>
      </c>
      <c r="C17" s="788"/>
      <c r="D17" s="784"/>
      <c r="E17" s="784"/>
      <c r="F17" s="784"/>
      <c r="G17" s="787"/>
      <c r="H17" s="784">
        <f>0.1*$B17</f>
        <v>260443.60652112679</v>
      </c>
      <c r="I17" s="784"/>
      <c r="J17" s="784"/>
      <c r="K17" s="784"/>
      <c r="L17" s="786"/>
      <c r="M17" s="784"/>
      <c r="N17" s="250"/>
      <c r="O17" s="784"/>
      <c r="P17" s="784">
        <f>0.5*$B17</f>
        <v>1302218.0326056338</v>
      </c>
      <c r="Q17" s="250"/>
      <c r="R17" s="784"/>
      <c r="S17" s="784"/>
      <c r="T17" s="784"/>
      <c r="U17" s="784"/>
      <c r="V17" s="784"/>
      <c r="W17" s="784"/>
      <c r="X17" s="784"/>
      <c r="Y17" s="784">
        <f>0.4*$B17</f>
        <v>1041774.4260845071</v>
      </c>
      <c r="Z17" s="787"/>
      <c r="AA17" s="787"/>
      <c r="AB17" s="787"/>
      <c r="AC17" s="787"/>
      <c r="AD17" s="784"/>
      <c r="AE17" s="784"/>
      <c r="AF17" s="250"/>
      <c r="AG17" s="784"/>
      <c r="AH17" s="784"/>
      <c r="AI17" s="784"/>
      <c r="AJ17" s="784"/>
      <c r="AK17" s="784"/>
      <c r="AL17" s="784"/>
      <c r="AM17" s="250"/>
      <c r="AN17" s="784"/>
      <c r="AO17" s="250"/>
      <c r="AP17" s="784"/>
      <c r="AQ17" s="787"/>
      <c r="AR17" s="784"/>
      <c r="AS17" s="784"/>
      <c r="AT17" s="784"/>
      <c r="AU17" s="784"/>
      <c r="AV17" s="784"/>
      <c r="AW17" s="784"/>
      <c r="AX17" s="784"/>
      <c r="AY17" s="784"/>
      <c r="AZ17" s="784"/>
      <c r="BA17" s="784"/>
      <c r="BB17" s="784"/>
      <c r="BC17" s="784"/>
      <c r="BD17" s="785">
        <f t="shared" si="16"/>
        <v>2604436.0652112677</v>
      </c>
      <c r="BE17" s="785">
        <f t="shared" si="15"/>
        <v>2604436.0652112677</v>
      </c>
      <c r="BF17" s="785">
        <f t="shared" si="12"/>
        <v>0</v>
      </c>
      <c r="CE17"/>
      <c r="CF17"/>
    </row>
    <row r="18" spans="1:84">
      <c r="A18" s="174" t="str">
        <f>'D Financial'!A60</f>
        <v>Insurance</v>
      </c>
      <c r="B18" s="924">
        <f>'D Financial'!C60</f>
        <v>1565340</v>
      </c>
      <c r="C18" s="788"/>
      <c r="D18" s="784"/>
      <c r="E18" s="784"/>
      <c r="F18" s="784"/>
      <c r="G18" s="784"/>
      <c r="H18" s="784"/>
      <c r="I18" s="784"/>
      <c r="J18" s="784"/>
      <c r="K18" s="784"/>
      <c r="L18" s="784"/>
      <c r="M18" s="784"/>
      <c r="N18" s="788">
        <f>$B18</f>
        <v>1565340</v>
      </c>
      <c r="O18" s="784"/>
      <c r="P18" s="784"/>
      <c r="Q18" s="784"/>
      <c r="R18" s="784"/>
      <c r="S18" s="784"/>
      <c r="T18" s="784"/>
      <c r="U18" s="784"/>
      <c r="V18" s="784"/>
      <c r="W18" s="784"/>
      <c r="X18" s="784"/>
      <c r="Y18" s="784"/>
      <c r="Z18" s="784"/>
      <c r="AA18" s="784"/>
      <c r="AB18" s="787"/>
      <c r="AC18" s="784"/>
      <c r="AD18" s="784"/>
      <c r="AE18" s="784"/>
      <c r="AF18" s="784"/>
      <c r="AG18" s="784"/>
      <c r="AH18" s="784"/>
      <c r="AI18" s="784"/>
      <c r="AJ18" s="784"/>
      <c r="AK18" s="784"/>
      <c r="AL18" s="784"/>
      <c r="AM18" s="784"/>
      <c r="AN18" s="794"/>
      <c r="AO18" s="784"/>
      <c r="AP18" s="784"/>
      <c r="AQ18" s="784"/>
      <c r="AR18" s="784"/>
      <c r="AS18" s="887"/>
      <c r="AT18" s="784"/>
      <c r="AU18" s="784"/>
      <c r="AV18" s="784"/>
      <c r="AW18" s="784"/>
      <c r="AX18" s="784"/>
      <c r="AY18" s="784"/>
      <c r="AZ18" s="784"/>
      <c r="BA18" s="784"/>
      <c r="BB18" s="784"/>
      <c r="BC18" s="784"/>
      <c r="BD18" s="785">
        <f t="shared" si="16"/>
        <v>1565340</v>
      </c>
      <c r="BE18" s="785">
        <f t="shared" si="15"/>
        <v>1565340</v>
      </c>
      <c r="BF18" s="785">
        <f t="shared" si="12"/>
        <v>0</v>
      </c>
      <c r="CE18"/>
      <c r="CF18"/>
    </row>
    <row r="19" spans="1:84">
      <c r="A19" s="174" t="str">
        <f>'D Financial'!A61</f>
        <v>Marketing, FFE and Preleasing</v>
      </c>
      <c r="B19" s="924">
        <f>'D Financial'!C61</f>
        <v>800000</v>
      </c>
      <c r="C19" s="788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  <c r="X19" s="784">
        <f t="shared" ref="X19" si="21">0.5*$B19</f>
        <v>400000</v>
      </c>
      <c r="Y19" s="784">
        <f>0.5*B19</f>
        <v>400000</v>
      </c>
      <c r="Z19" s="784"/>
      <c r="AA19" s="787"/>
      <c r="AB19" s="787"/>
      <c r="AC19" s="784"/>
      <c r="AD19" s="784"/>
      <c r="AE19" s="784"/>
      <c r="AF19" s="794"/>
      <c r="AG19" s="794"/>
      <c r="AH19" s="794"/>
      <c r="AI19" s="794"/>
      <c r="AJ19" s="787"/>
      <c r="AK19" s="787"/>
      <c r="AL19" s="787"/>
      <c r="AM19" s="784"/>
      <c r="AN19" s="257"/>
      <c r="AO19" s="250"/>
      <c r="AP19" s="250"/>
      <c r="AQ19" s="794"/>
      <c r="AR19" s="794"/>
      <c r="AS19" s="794"/>
      <c r="AT19" s="794"/>
      <c r="AU19" s="794"/>
      <c r="AV19" s="794"/>
      <c r="AW19" s="794"/>
      <c r="AX19" s="794"/>
      <c r="AY19" s="794"/>
      <c r="AZ19" s="794"/>
      <c r="BA19" s="794"/>
      <c r="BB19" s="794"/>
      <c r="BC19" s="794"/>
      <c r="BD19" s="785">
        <f t="shared" si="16"/>
        <v>800000</v>
      </c>
      <c r="BE19" s="785">
        <f t="shared" si="15"/>
        <v>800000</v>
      </c>
      <c r="BF19" s="785">
        <f t="shared" si="12"/>
        <v>0</v>
      </c>
      <c r="CE19"/>
      <c r="CF19"/>
    </row>
    <row r="20" spans="1:84">
      <c r="A20" s="174" t="str">
        <f>'D Financial'!A62</f>
        <v>Retail Tenant Improvements</v>
      </c>
      <c r="B20" s="924">
        <f>'D Financial'!C62</f>
        <v>7360000</v>
      </c>
      <c r="C20" s="788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>
        <f t="shared" ref="T20:W20" si="22">$B20*T4*2</f>
        <v>1472000</v>
      </c>
      <c r="U20" s="784">
        <f t="shared" si="22"/>
        <v>1472000</v>
      </c>
      <c r="V20" s="784">
        <f t="shared" si="22"/>
        <v>1472000</v>
      </c>
      <c r="W20" s="784">
        <f t="shared" si="22"/>
        <v>1472000</v>
      </c>
      <c r="X20" s="784">
        <f>B20-SUM(T20:W20)</f>
        <v>1472000</v>
      </c>
      <c r="Y20" s="784"/>
      <c r="Z20" s="784"/>
      <c r="AA20" s="784"/>
      <c r="AB20" s="784"/>
      <c r="AC20" s="784"/>
      <c r="AD20" s="784"/>
      <c r="AE20" s="784"/>
      <c r="AF20" s="784"/>
      <c r="AG20" s="784"/>
      <c r="AH20" s="784"/>
      <c r="AI20" s="787"/>
      <c r="AJ20" s="787"/>
      <c r="AK20" s="788"/>
      <c r="AL20" s="787"/>
      <c r="AM20" s="784"/>
      <c r="AN20" s="794"/>
      <c r="AO20" s="794"/>
      <c r="AP20" s="794"/>
      <c r="AQ20" s="794"/>
      <c r="AR20" s="890"/>
      <c r="AS20" s="891"/>
      <c r="AT20" s="787"/>
      <c r="AU20" s="787"/>
      <c r="AV20" s="787"/>
      <c r="AW20" s="787"/>
      <c r="AX20" s="787"/>
      <c r="AY20" s="787"/>
      <c r="AZ20" s="787"/>
      <c r="BA20" s="787"/>
      <c r="BB20" s="787"/>
      <c r="BC20" s="787"/>
      <c r="BD20" s="785">
        <f t="shared" si="16"/>
        <v>7360000</v>
      </c>
      <c r="BE20" s="785">
        <f t="shared" si="15"/>
        <v>7360000</v>
      </c>
      <c r="BF20" s="785">
        <f t="shared" si="12"/>
        <v>0</v>
      </c>
      <c r="CE20"/>
      <c r="CF20"/>
    </row>
    <row r="21" spans="1:84">
      <c r="A21" s="174" t="str">
        <f>'D Financial'!A63</f>
        <v>Retail brokerage</v>
      </c>
      <c r="B21" s="924">
        <f>'D Financial'!C63</f>
        <v>0</v>
      </c>
      <c r="C21" s="788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784"/>
      <c r="AJ21" s="784"/>
      <c r="AK21" s="784"/>
      <c r="AL21" s="784"/>
      <c r="AM21" s="784"/>
      <c r="AN21" s="794"/>
      <c r="AO21" s="784"/>
      <c r="AP21" s="784"/>
      <c r="AQ21" s="784"/>
      <c r="AR21" s="784"/>
      <c r="AS21" s="887"/>
      <c r="AT21" s="787"/>
      <c r="AU21" s="787"/>
      <c r="AV21" s="787"/>
      <c r="AW21" s="787"/>
      <c r="AX21" s="787"/>
      <c r="AY21" s="787"/>
      <c r="AZ21" s="787"/>
      <c r="BA21" s="787"/>
      <c r="BB21" s="787"/>
      <c r="BC21" s="787"/>
      <c r="BD21" s="785">
        <f t="shared" si="16"/>
        <v>0</v>
      </c>
      <c r="BE21" s="785">
        <f t="shared" si="15"/>
        <v>0</v>
      </c>
      <c r="BF21" s="785">
        <f t="shared" si="12"/>
        <v>0</v>
      </c>
      <c r="CE21"/>
      <c r="CF21"/>
    </row>
    <row r="22" spans="1:84">
      <c r="A22" s="174" t="str">
        <f>'D Financial'!A64</f>
        <v>Construction Loan Origination</v>
      </c>
      <c r="B22" s="924">
        <f>'D Financial'!C64</f>
        <v>1051800</v>
      </c>
      <c r="C22" s="784">
        <f>$B$22*C4</f>
        <v>0</v>
      </c>
      <c r="D22" s="784">
        <f>$B$22*D4</f>
        <v>0</v>
      </c>
      <c r="E22" s="784">
        <v>0</v>
      </c>
      <c r="F22" s="784">
        <v>0</v>
      </c>
      <c r="G22" s="784">
        <v>0</v>
      </c>
      <c r="H22" s="784">
        <v>0</v>
      </c>
      <c r="I22" s="784"/>
      <c r="J22" s="784"/>
      <c r="K22" s="784">
        <f>$B22</f>
        <v>1051800</v>
      </c>
      <c r="L22" s="784">
        <v>0</v>
      </c>
      <c r="M22" s="784"/>
      <c r="N22" s="784">
        <v>0</v>
      </c>
      <c r="O22" s="250"/>
      <c r="P22" s="784">
        <v>0</v>
      </c>
      <c r="Q22" s="784">
        <v>0</v>
      </c>
      <c r="R22" s="250"/>
      <c r="S22" s="250"/>
      <c r="T22" s="250"/>
      <c r="U22" s="250"/>
      <c r="V22" s="250"/>
      <c r="W22" s="250"/>
      <c r="X22" s="250"/>
      <c r="Y22" s="784"/>
      <c r="Z22" s="784"/>
      <c r="AA22" s="784"/>
      <c r="AB22" s="784"/>
      <c r="AC22" s="784"/>
      <c r="AD22" s="784"/>
      <c r="AE22" s="250"/>
      <c r="AF22" s="784"/>
      <c r="AG22" s="784"/>
      <c r="AH22" s="784"/>
      <c r="AI22" s="784"/>
      <c r="AJ22" s="784"/>
      <c r="AK22" s="784"/>
      <c r="AL22" s="784"/>
      <c r="AM22" s="784"/>
      <c r="AN22" s="794"/>
      <c r="AO22" s="784"/>
      <c r="AP22" s="784"/>
      <c r="AQ22" s="784"/>
      <c r="AR22" s="784"/>
      <c r="AS22" s="887"/>
      <c r="AT22" s="784"/>
      <c r="AU22" s="784"/>
      <c r="AV22" s="784"/>
      <c r="AW22" s="784"/>
      <c r="AX22" s="784"/>
      <c r="AY22" s="784"/>
      <c r="AZ22" s="784"/>
      <c r="BA22" s="784"/>
      <c r="BB22" s="784"/>
      <c r="BC22" s="784"/>
      <c r="BD22" s="785">
        <f t="shared" si="16"/>
        <v>1051800</v>
      </c>
      <c r="BE22" s="785">
        <f t="shared" si="15"/>
        <v>1051800</v>
      </c>
      <c r="BF22" s="785">
        <f t="shared" si="12"/>
        <v>0</v>
      </c>
      <c r="CE22"/>
      <c r="CF22"/>
    </row>
    <row r="23" spans="1:84">
      <c r="A23" s="174" t="str">
        <f>'D Financial'!A65</f>
        <v>Construction Interest</v>
      </c>
      <c r="B23" s="924">
        <f>'D Financial'!C65</f>
        <v>4207200</v>
      </c>
      <c r="C23" s="796"/>
      <c r="D23" s="784"/>
      <c r="E23" s="784"/>
      <c r="F23" s="784"/>
      <c r="G23" s="784"/>
      <c r="H23" s="784"/>
      <c r="I23" s="784">
        <v>0</v>
      </c>
      <c r="J23" s="784">
        <v>0</v>
      </c>
      <c r="K23" s="784"/>
      <c r="L23" s="784"/>
      <c r="M23" s="784"/>
      <c r="N23" s="784"/>
      <c r="O23" s="784"/>
      <c r="P23" s="784"/>
      <c r="Q23" s="784"/>
      <c r="R23" s="784"/>
      <c r="S23" s="784"/>
      <c r="T23" s="784">
        <f t="shared" ref="T23" si="23">0.05*$B23</f>
        <v>210360</v>
      </c>
      <c r="U23" s="784">
        <f t="shared" ref="U23:W23" si="24">0.05*$B23</f>
        <v>210360</v>
      </c>
      <c r="V23" s="784">
        <f t="shared" si="24"/>
        <v>210360</v>
      </c>
      <c r="W23" s="784">
        <f t="shared" si="24"/>
        <v>210360</v>
      </c>
      <c r="X23" s="784">
        <f>0.05*$B23</f>
        <v>210360</v>
      </c>
      <c r="Y23" s="784">
        <f>0.15*$B23</f>
        <v>631080</v>
      </c>
      <c r="Z23" s="784">
        <f>0.3*$B23</f>
        <v>1262160</v>
      </c>
      <c r="AA23" s="784">
        <f>0.3*$B23</f>
        <v>1262160</v>
      </c>
      <c r="AB23" s="784"/>
      <c r="AC23" s="784"/>
      <c r="AD23" s="784"/>
      <c r="AE23" s="784"/>
      <c r="AF23" s="784"/>
      <c r="AG23" s="784"/>
      <c r="AH23" s="784"/>
      <c r="AI23" s="784"/>
      <c r="AJ23" s="784"/>
      <c r="AK23" s="784"/>
      <c r="AL23" s="784"/>
      <c r="AM23" s="784"/>
      <c r="AN23" s="784"/>
      <c r="AO23" s="784"/>
      <c r="AP23" s="784"/>
      <c r="AQ23" s="784"/>
      <c r="AR23" s="784"/>
      <c r="AS23" s="784"/>
      <c r="AT23" s="784"/>
      <c r="AU23" s="784"/>
      <c r="AV23" s="784"/>
      <c r="AW23" s="784"/>
      <c r="AX23" s="784"/>
      <c r="AY23" s="784"/>
      <c r="AZ23" s="784"/>
      <c r="BA23" s="784"/>
      <c r="BB23" s="784"/>
      <c r="BC23" s="784"/>
      <c r="BD23" s="785">
        <f t="shared" si="16"/>
        <v>4207200</v>
      </c>
      <c r="BE23" s="785">
        <f t="shared" si="15"/>
        <v>4207200</v>
      </c>
      <c r="BF23" s="785">
        <f t="shared" si="12"/>
        <v>0</v>
      </c>
      <c r="CE23"/>
      <c r="CF23"/>
    </row>
    <row r="24" spans="1:84" ht="15" thickBot="1">
      <c r="A24" s="892" t="str">
        <f>'D Financial'!A66</f>
        <v>Additional Contingency</v>
      </c>
      <c r="B24" s="799">
        <f>'D Financial'!C66</f>
        <v>2858000</v>
      </c>
      <c r="C24" s="798">
        <v>0</v>
      </c>
      <c r="D24" s="798">
        <v>0</v>
      </c>
      <c r="E24" s="798">
        <v>0</v>
      </c>
      <c r="F24" s="798"/>
      <c r="G24" s="798">
        <v>0</v>
      </c>
      <c r="H24" s="798">
        <v>0</v>
      </c>
      <c r="I24" s="784"/>
      <c r="J24" s="784"/>
      <c r="K24" s="798">
        <f t="shared" ref="K24:AA24" si="25">$B24*K$4</f>
        <v>142900</v>
      </c>
      <c r="L24" s="798">
        <f t="shared" si="25"/>
        <v>142900</v>
      </c>
      <c r="M24" s="798">
        <f t="shared" si="25"/>
        <v>142900</v>
      </c>
      <c r="N24" s="798">
        <f t="shared" si="25"/>
        <v>142900</v>
      </c>
      <c r="O24" s="798">
        <f t="shared" si="25"/>
        <v>142900</v>
      </c>
      <c r="P24" s="798">
        <f t="shared" si="25"/>
        <v>142900</v>
      </c>
      <c r="Q24" s="798">
        <f t="shared" si="25"/>
        <v>142900</v>
      </c>
      <c r="R24" s="798">
        <f t="shared" si="25"/>
        <v>285800</v>
      </c>
      <c r="S24" s="798">
        <f t="shared" si="25"/>
        <v>285800</v>
      </c>
      <c r="T24" s="798">
        <f t="shared" si="25"/>
        <v>285800</v>
      </c>
      <c r="U24" s="798">
        <f t="shared" si="25"/>
        <v>285800</v>
      </c>
      <c r="V24" s="798">
        <f t="shared" si="25"/>
        <v>285800</v>
      </c>
      <c r="W24" s="798">
        <f t="shared" si="25"/>
        <v>285800</v>
      </c>
      <c r="X24" s="798">
        <f t="shared" si="25"/>
        <v>142900</v>
      </c>
      <c r="Y24" s="798">
        <f t="shared" si="25"/>
        <v>0</v>
      </c>
      <c r="Z24" s="798">
        <f t="shared" si="25"/>
        <v>0</v>
      </c>
      <c r="AA24" s="798">
        <f t="shared" si="25"/>
        <v>0</v>
      </c>
      <c r="AB24" s="798"/>
      <c r="AC24" s="798"/>
      <c r="AD24" s="798"/>
      <c r="AE24" s="798"/>
      <c r="AF24" s="798"/>
      <c r="AG24" s="798"/>
      <c r="AH24" s="798"/>
      <c r="AI24" s="798"/>
      <c r="AJ24" s="798"/>
      <c r="AK24" s="798"/>
      <c r="AL24" s="798"/>
      <c r="AM24" s="798"/>
      <c r="AN24" s="798"/>
      <c r="AO24" s="798"/>
      <c r="AP24" s="798"/>
      <c r="AQ24" s="798"/>
      <c r="AR24" s="798"/>
      <c r="AS24" s="798"/>
      <c r="AT24" s="798"/>
      <c r="AU24" s="798"/>
      <c r="AV24" s="798"/>
      <c r="AW24" s="798"/>
      <c r="AX24" s="798"/>
      <c r="AY24" s="798"/>
      <c r="AZ24" s="798"/>
      <c r="BA24" s="798"/>
      <c r="BB24" s="798"/>
      <c r="BC24" s="798"/>
      <c r="BD24" s="799">
        <f t="shared" si="16"/>
        <v>2858000</v>
      </c>
      <c r="BE24" s="785">
        <f t="shared" si="15"/>
        <v>2858000</v>
      </c>
      <c r="BF24" s="785">
        <f t="shared" si="12"/>
        <v>0</v>
      </c>
      <c r="CE24"/>
      <c r="CF24"/>
    </row>
    <row r="25" spans="1:84" ht="15.6" thickTop="1" thickBot="1">
      <c r="A25" s="188" t="str">
        <f>'A Financial'!A68</f>
        <v>Total Project Cost</v>
      </c>
      <c r="B25" s="189">
        <f t="shared" ref="B25:R25" si="26">SUM(B5:B24)</f>
        <v>103118542.47981125</v>
      </c>
      <c r="C25" s="172">
        <f t="shared" si="26"/>
        <v>0</v>
      </c>
      <c r="D25" s="172">
        <f t="shared" si="26"/>
        <v>0</v>
      </c>
      <c r="E25" s="172">
        <f t="shared" si="26"/>
        <v>1050586.9820000001</v>
      </c>
      <c r="F25" s="172">
        <f t="shared" si="26"/>
        <v>782194.39999999991</v>
      </c>
      <c r="G25" s="172">
        <f t="shared" si="26"/>
        <v>351198.4</v>
      </c>
      <c r="H25" s="172">
        <f t="shared" si="26"/>
        <v>435262.72652112681</v>
      </c>
      <c r="I25" s="895">
        <f t="shared" si="26"/>
        <v>136199.20000000001</v>
      </c>
      <c r="J25" s="895">
        <f t="shared" si="26"/>
        <v>1876479.68</v>
      </c>
      <c r="K25" s="172">
        <f t="shared" si="26"/>
        <v>7649788.4677299997</v>
      </c>
      <c r="L25" s="172">
        <f t="shared" si="26"/>
        <v>3944068.42973</v>
      </c>
      <c r="M25" s="172">
        <f t="shared" si="26"/>
        <v>3855068.42973</v>
      </c>
      <c r="N25" s="172">
        <f t="shared" si="26"/>
        <v>5420408.42973</v>
      </c>
      <c r="O25" s="172">
        <f t="shared" si="26"/>
        <v>3855068.42973</v>
      </c>
      <c r="P25" s="172">
        <f t="shared" si="26"/>
        <v>5157286.462335634</v>
      </c>
      <c r="Q25" s="172">
        <f t="shared" si="26"/>
        <v>3855068.42973</v>
      </c>
      <c r="R25" s="172">
        <f t="shared" si="26"/>
        <v>7710136.8594599999</v>
      </c>
      <c r="S25" s="172">
        <f t="shared" ref="S25:U25" si="27">SUM(S5:S24)</f>
        <v>8322636.8594599999</v>
      </c>
      <c r="T25" s="172">
        <f t="shared" si="27"/>
        <v>10004996.85946</v>
      </c>
      <c r="U25" s="172">
        <f t="shared" si="27"/>
        <v>9392496.8594599999</v>
      </c>
      <c r="V25" s="172">
        <f t="shared" ref="V25" si="28">SUM(V5:V24)</f>
        <v>9392496.8594599999</v>
      </c>
      <c r="W25" s="172">
        <f t="shared" ref="W25" si="29">SUM(W5:W24)</f>
        <v>9392496.8594599999</v>
      </c>
      <c r="X25" s="172">
        <f t="shared" ref="X25" si="30">SUM(X5:X24)</f>
        <v>5937428.42973</v>
      </c>
      <c r="Y25" s="172">
        <f>SUM(Y5:Y24)</f>
        <v>2072854.4260845073</v>
      </c>
      <c r="Z25" s="172">
        <f>SUM(Z5:Z24)</f>
        <v>1262160</v>
      </c>
      <c r="AA25" s="172">
        <f>SUM(AA5:AA24)</f>
        <v>1262160</v>
      </c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68"/>
      <c r="AV25" s="168"/>
      <c r="AW25" s="168"/>
      <c r="AX25" s="168"/>
      <c r="AY25" s="168"/>
      <c r="AZ25" s="168"/>
      <c r="BA25" s="168"/>
      <c r="BB25" s="168"/>
      <c r="BC25" s="168"/>
      <c r="BD25" s="169">
        <f>SUM(BD5:BD24)</f>
        <v>101326542.47981125</v>
      </c>
      <c r="BE25" s="168">
        <f>SUM(BE5:BE24)</f>
        <v>101326542.47981125</v>
      </c>
      <c r="BF25" s="168"/>
      <c r="CE25"/>
      <c r="CF25"/>
    </row>
    <row r="26" spans="1:84">
      <c r="A26" s="170" t="s">
        <v>360</v>
      </c>
      <c r="B26" s="190">
        <f>'D Financial'!B75</f>
        <v>0</v>
      </c>
      <c r="C26" s="191"/>
      <c r="D26" s="192"/>
      <c r="E26" s="192"/>
      <c r="F26" s="192"/>
      <c r="G26" s="192"/>
      <c r="H26" s="192"/>
      <c r="I26" s="823"/>
      <c r="J26" s="823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1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4"/>
      <c r="BE26" s="191"/>
      <c r="BF26" s="168"/>
      <c r="CE26"/>
      <c r="CF26"/>
    </row>
    <row r="27" spans="1:84" ht="15" thickBot="1">
      <c r="A27" s="800" t="s">
        <v>361</v>
      </c>
      <c r="B27" s="925">
        <f>B25+B26</f>
        <v>103118542.47981125</v>
      </c>
      <c r="C27" s="926"/>
      <c r="D27" s="815"/>
      <c r="E27" s="815"/>
      <c r="F27" s="815"/>
      <c r="G27" s="815"/>
      <c r="H27" s="815"/>
      <c r="I27" s="815"/>
      <c r="J27" s="815"/>
      <c r="K27" s="815"/>
      <c r="L27" s="815"/>
      <c r="M27" s="815"/>
      <c r="N27" s="815"/>
      <c r="O27" s="815"/>
      <c r="P27" s="815"/>
      <c r="Q27" s="815"/>
      <c r="R27" s="815"/>
      <c r="S27" s="815"/>
      <c r="T27" s="815"/>
      <c r="U27" s="815"/>
      <c r="V27" s="815"/>
      <c r="W27" s="815"/>
      <c r="X27" s="815"/>
      <c r="Y27" s="815"/>
      <c r="Z27" s="815"/>
      <c r="AA27" s="815"/>
      <c r="AB27" s="815"/>
      <c r="AC27" s="815"/>
      <c r="AD27" s="815"/>
      <c r="AE27" s="815"/>
      <c r="AF27" s="815"/>
      <c r="AG27" s="815"/>
      <c r="AH27" s="813"/>
      <c r="AI27" s="813"/>
      <c r="AJ27" s="813"/>
      <c r="AK27" s="813"/>
      <c r="AL27" s="813"/>
      <c r="AM27" s="813"/>
      <c r="AN27" s="813"/>
      <c r="AO27" s="813"/>
      <c r="AP27" s="815"/>
      <c r="AQ27" s="815"/>
      <c r="AR27" s="815"/>
      <c r="AS27" s="926"/>
      <c r="AT27" s="927"/>
      <c r="AU27" s="927"/>
      <c r="AV27" s="927"/>
      <c r="AW27" s="927"/>
      <c r="AX27" s="927"/>
      <c r="AY27" s="927"/>
      <c r="AZ27" s="927"/>
      <c r="BA27" s="927"/>
      <c r="BB27" s="927"/>
      <c r="BC27" s="927"/>
      <c r="BD27" s="815"/>
      <c r="BE27" s="926"/>
      <c r="BF27" s="802"/>
      <c r="CE27"/>
      <c r="CF27"/>
    </row>
    <row r="28" spans="1:84">
      <c r="A28" s="177" t="s">
        <v>362</v>
      </c>
      <c r="B28" s="178">
        <f ca="1">SUM(C28:BD28)</f>
        <v>30394000</v>
      </c>
      <c r="C28" s="785">
        <f>C25</f>
        <v>0</v>
      </c>
      <c r="D28" s="785">
        <f t="shared" ref="D28:AA28" si="31">IF(C29+D25&lt;=$B$29,D25,($B$29-C29))</f>
        <v>0</v>
      </c>
      <c r="E28" s="785">
        <f t="shared" si="31"/>
        <v>1050586.9820000001</v>
      </c>
      <c r="F28" s="785">
        <f t="shared" si="31"/>
        <v>782194.39999999991</v>
      </c>
      <c r="G28" s="785">
        <f t="shared" si="31"/>
        <v>351198.4</v>
      </c>
      <c r="H28" s="785">
        <f t="shared" si="31"/>
        <v>435262.72652112681</v>
      </c>
      <c r="I28" s="785">
        <f>IF(H30+I25&lt;=$B$30,I25,($B$30-H30))</f>
        <v>136199.20000000001</v>
      </c>
      <c r="J28" s="785">
        <f ca="1">IF(I29+J25&lt;=$B$30,J25,($B$30-I29))</f>
        <v>2128249.4431408448</v>
      </c>
      <c r="K28" s="785">
        <f>IF(H29+K25&lt;=$B$29,K25,($B$29-H29))</f>
        <v>7649788.4677299997</v>
      </c>
      <c r="L28" s="785">
        <f t="shared" ca="1" si="31"/>
        <v>4025705.1337300004</v>
      </c>
      <c r="M28" s="785">
        <f t="shared" ca="1" si="31"/>
        <v>3936305.1337300004</v>
      </c>
      <c r="N28" s="785">
        <f t="shared" ca="1" si="31"/>
        <v>5501645.1337299999</v>
      </c>
      <c r="O28" s="785">
        <f t="shared" ca="1" si="31"/>
        <v>6589595.4019391537</v>
      </c>
      <c r="P28" s="785">
        <f t="shared" ca="1" si="31"/>
        <v>0</v>
      </c>
      <c r="Q28" s="785">
        <f t="shared" ca="1" si="31"/>
        <v>0</v>
      </c>
      <c r="R28" s="785">
        <f t="shared" ca="1" si="31"/>
        <v>0</v>
      </c>
      <c r="S28" s="785">
        <f t="shared" ref="S28" ca="1" si="32">IF(R29+S25&lt;=$B$29,S25,($B$29-R29))</f>
        <v>0</v>
      </c>
      <c r="T28" s="785">
        <f t="shared" ref="T28" ca="1" si="33">IF(S29+T25&lt;=$B$29,T25,($B$29-S29))</f>
        <v>0</v>
      </c>
      <c r="U28" s="785">
        <f t="shared" ref="U28" ca="1" si="34">IF(T29+U25&lt;=$B$29,U25,($B$29-T29))</f>
        <v>0</v>
      </c>
      <c r="V28" s="785">
        <f t="shared" ref="V28" ca="1" si="35">IF(U29+V25&lt;=$B$29,V25,($B$29-U29))</f>
        <v>0</v>
      </c>
      <c r="W28" s="785">
        <f t="shared" ref="W28" ca="1" si="36">IF(V29+W25&lt;=$B$29,W25,($B$29-V29))</f>
        <v>0</v>
      </c>
      <c r="X28" s="785">
        <f t="shared" ref="X28" ca="1" si="37">IF(W29+X25&lt;=$B$29,X25,($B$29-W29))</f>
        <v>0</v>
      </c>
      <c r="Y28" s="785">
        <f ca="1">IF(R29+Y25&lt;=$B$29,Y25,($B$29-R29))</f>
        <v>0</v>
      </c>
      <c r="Z28" s="785">
        <f t="shared" ca="1" si="31"/>
        <v>0</v>
      </c>
      <c r="AA28" s="785">
        <f t="shared" ca="1" si="31"/>
        <v>0</v>
      </c>
      <c r="AB28" s="785"/>
      <c r="AC28" s="785"/>
      <c r="AD28" s="785"/>
      <c r="AE28" s="785"/>
      <c r="AF28" s="785"/>
      <c r="AG28" s="785"/>
      <c r="AH28" s="785"/>
      <c r="AI28" s="785"/>
      <c r="AJ28" s="785"/>
      <c r="AK28" s="785"/>
      <c r="AL28" s="785"/>
      <c r="AM28" s="785"/>
      <c r="AN28" s="785"/>
      <c r="AO28" s="785"/>
      <c r="AP28" s="785"/>
      <c r="AQ28" s="785"/>
      <c r="AR28" s="785"/>
      <c r="AS28" s="785"/>
      <c r="AT28" s="785"/>
      <c r="AU28" s="785"/>
      <c r="AV28" s="785"/>
      <c r="AW28" s="785"/>
      <c r="AX28" s="785"/>
      <c r="AY28" s="785"/>
      <c r="AZ28" s="785"/>
      <c r="BA28" s="785"/>
      <c r="BB28" s="785"/>
      <c r="BC28" s="785"/>
      <c r="BD28" s="808"/>
      <c r="BE28" s="807"/>
      <c r="BF28" s="805"/>
      <c r="CE28"/>
      <c r="CF28"/>
    </row>
    <row r="29" spans="1:84" ht="15" thickBot="1">
      <c r="A29" s="174" t="s">
        <v>363</v>
      </c>
      <c r="B29" s="806">
        <f>'D Financial'!B78</f>
        <v>31131000</v>
      </c>
      <c r="C29" s="785">
        <f>C28</f>
        <v>0</v>
      </c>
      <c r="D29" s="785">
        <f>IF(SUM($C$28:D28)&lt;=$B29,SUM($C$28:D28),0)</f>
        <v>0</v>
      </c>
      <c r="E29" s="785">
        <f>IF(SUM($C$28:E28)&lt;=$B29,SUM($C$28:E28),0)</f>
        <v>1050586.9820000001</v>
      </c>
      <c r="F29" s="785">
        <f>IF(SUM($C$28:F28)&lt;=$B29,SUM($C$28:F28),0)</f>
        <v>1832781.382</v>
      </c>
      <c r="G29" s="785">
        <f>IF(SUM($C$28:G28)&lt;=$B29,SUM($C$28:G28),0)</f>
        <v>2183979.7820000001</v>
      </c>
      <c r="H29" s="785">
        <f>IF(SUM($C$28:H28)&lt;=$B29,SUM($C$28:H28),0)</f>
        <v>2619242.508521127</v>
      </c>
      <c r="I29" s="785">
        <f ca="1">IF(SUM($C$29:I29)&lt;=$B30,SUM($C$29:I29),0)</f>
        <v>7830968.5711408453</v>
      </c>
      <c r="J29" s="785">
        <f ca="1">IF(SUM($C$29:J29)&lt;=$B30,SUM($C$29:J29),0)</f>
        <v>9959218.0142816901</v>
      </c>
      <c r="K29" s="785">
        <f ca="1">IF(SUM($C$28:K28)&lt;=$B29,SUM($C$28:K28),0)</f>
        <v>10340749.196870845</v>
      </c>
      <c r="L29" s="785">
        <f ca="1">IF(SUM($C$28:L28)&lt;=$B29,SUM($C$28:L28),0)</f>
        <v>14366454.330600845</v>
      </c>
      <c r="M29" s="785">
        <f ca="1">IF(SUM($C$28:M28)&lt;=$B29,SUM($C$28:M28),0)</f>
        <v>18302759.464330845</v>
      </c>
      <c r="N29" s="785">
        <f ca="1">IF(SUM($C$28:N28)&lt;=$B29,SUM($C$28:N28),0)</f>
        <v>23804404.598060846</v>
      </c>
      <c r="O29" s="785">
        <f ca="1">IF(SUM($C$28:O28)&lt;=$B29,SUM($C$28:O28),0)</f>
        <v>30394000</v>
      </c>
      <c r="P29" s="785">
        <f ca="1">IF(SUM($C$28:P28)&lt;=$B29,SUM($C$28:P28),0)</f>
        <v>30394000</v>
      </c>
      <c r="Q29" s="785">
        <f ca="1">IF(SUM($C$28:Q28)&lt;=$B29,SUM($C$28:Q28),0)</f>
        <v>30394000</v>
      </c>
      <c r="R29" s="785">
        <f ca="1">IF(SUM($C$28:R28)&lt;=$B29,SUM($C$28:R28),0)</f>
        <v>30394000</v>
      </c>
      <c r="S29" s="785">
        <f ca="1">IF(SUM($C$28:S28)&lt;=$B29,SUM($C$28:S28),0)</f>
        <v>30394000</v>
      </c>
      <c r="T29" s="785">
        <f ca="1">IF(SUM($C$28:T28)&lt;=$B29,SUM($C$28:T28),0)</f>
        <v>30394000</v>
      </c>
      <c r="U29" s="785">
        <f ca="1">IF(SUM($C$28:U28)&lt;=$B29,SUM($C$28:U28),0)</f>
        <v>30394000</v>
      </c>
      <c r="V29" s="785">
        <f ca="1">IF(SUM($C$28:V28)&lt;=$B29,SUM($C$28:V28),0)</f>
        <v>30394000</v>
      </c>
      <c r="W29" s="785">
        <f ca="1">IF(SUM($C$28:W28)&lt;=$B29,SUM($C$28:W28),0)</f>
        <v>30394000</v>
      </c>
      <c r="X29" s="785">
        <f ca="1">IF(SUM($C$28:X28)&lt;=$B29,SUM($C$28:X28),0)</f>
        <v>30394000</v>
      </c>
      <c r="Y29" s="785">
        <f ca="1">IF(SUM($C$28:Y28)&lt;=$B29,SUM($C$28:Y28),0)</f>
        <v>30394000</v>
      </c>
      <c r="Z29" s="785">
        <f ca="1">IF(SUM($C$28:Z28)&lt;=$B29,SUM($C$28:Z28),0)</f>
        <v>30394000</v>
      </c>
      <c r="AA29" s="785">
        <f ca="1">IF(SUM($C$28:AA28)&lt;=$B29,SUM($C$28:AA28),0)</f>
        <v>30394000</v>
      </c>
      <c r="AB29" s="785"/>
      <c r="AC29" s="785"/>
      <c r="AD29" s="785"/>
      <c r="AE29" s="785"/>
      <c r="AF29" s="785"/>
      <c r="AG29" s="785"/>
      <c r="AH29" s="785"/>
      <c r="AI29" s="785"/>
      <c r="AJ29" s="785"/>
      <c r="AK29" s="785"/>
      <c r="AL29" s="785"/>
      <c r="AM29" s="785"/>
      <c r="AN29" s="785"/>
      <c r="AO29" s="785"/>
      <c r="AP29" s="785"/>
      <c r="AQ29" s="785"/>
      <c r="AR29" s="785"/>
      <c r="AS29" s="785"/>
      <c r="AT29" s="785"/>
      <c r="AU29" s="785"/>
      <c r="AV29" s="785"/>
      <c r="AW29" s="785"/>
      <c r="AX29" s="785"/>
      <c r="AY29" s="785"/>
      <c r="AZ29" s="785"/>
      <c r="BA29" s="785"/>
      <c r="BB29" s="785"/>
      <c r="BC29" s="785"/>
      <c r="BD29" s="808"/>
      <c r="BE29" s="807"/>
      <c r="BF29" s="805"/>
      <c r="CE29"/>
      <c r="CF29"/>
    </row>
    <row r="30" spans="1:84">
      <c r="A30" s="175" t="s">
        <v>364</v>
      </c>
      <c r="B30" s="176">
        <f>'D Financial'!B77</f>
        <v>72639000</v>
      </c>
      <c r="C30" s="807"/>
      <c r="D30" s="808"/>
      <c r="E30" s="808"/>
      <c r="F30" s="808"/>
      <c r="G30" s="808"/>
      <c r="H30" s="808"/>
      <c r="I30" s="808"/>
      <c r="J30" s="808"/>
      <c r="K30" s="808"/>
      <c r="L30" s="808"/>
      <c r="M30" s="808"/>
      <c r="N30" s="808"/>
      <c r="O30" s="808"/>
      <c r="P30" s="808"/>
      <c r="Q30" s="808"/>
      <c r="R30" s="808"/>
      <c r="S30" s="808"/>
      <c r="T30" s="808"/>
      <c r="U30" s="808"/>
      <c r="V30" s="808"/>
      <c r="W30" s="808"/>
      <c r="X30" s="808"/>
      <c r="Y30" s="808"/>
      <c r="Z30" s="808"/>
      <c r="AA30" s="808"/>
      <c r="AB30" s="808"/>
      <c r="AC30" s="808"/>
      <c r="AD30" s="808"/>
      <c r="AE30" s="808"/>
      <c r="AF30" s="808"/>
      <c r="AG30" s="808"/>
      <c r="AH30" s="808"/>
      <c r="AI30" s="808"/>
      <c r="AJ30" s="808"/>
      <c r="AK30" s="808"/>
      <c r="AL30" s="808"/>
      <c r="AM30" s="808"/>
      <c r="AN30" s="808"/>
      <c r="AO30" s="808"/>
      <c r="AP30" s="808"/>
      <c r="AQ30" s="808"/>
      <c r="AR30" s="808"/>
      <c r="AS30" s="808"/>
      <c r="AT30" s="808"/>
      <c r="AU30" s="808"/>
      <c r="AV30" s="808"/>
      <c r="AW30" s="808"/>
      <c r="AX30" s="808"/>
      <c r="AY30" s="808"/>
      <c r="AZ30" s="808"/>
      <c r="BA30" s="808"/>
      <c r="BB30" s="808"/>
      <c r="BC30" s="808"/>
      <c r="BD30" s="808"/>
      <c r="BE30" s="807"/>
      <c r="BF30" s="805"/>
      <c r="CE30"/>
      <c r="CF30"/>
    </row>
    <row r="31" spans="1:84" ht="15" thickBot="1">
      <c r="A31" s="809" t="s">
        <v>365</v>
      </c>
      <c r="B31" s="810">
        <f>PMT(0.045,30,(B30))</f>
        <v>-4459420.2853372972</v>
      </c>
      <c r="C31" s="807"/>
      <c r="D31" s="808"/>
      <c r="E31" s="808"/>
      <c r="F31" s="808"/>
      <c r="G31" s="808"/>
      <c r="H31" s="808"/>
      <c r="I31" s="808"/>
      <c r="J31" s="808"/>
      <c r="K31" s="808"/>
      <c r="L31" s="808"/>
      <c r="M31" s="808"/>
      <c r="N31" s="808"/>
      <c r="O31" s="808"/>
      <c r="P31" s="808"/>
      <c r="Q31" s="808"/>
      <c r="R31" s="808"/>
      <c r="S31" s="808"/>
      <c r="T31" s="808"/>
      <c r="U31" s="808"/>
      <c r="V31" s="808"/>
      <c r="W31" s="808"/>
      <c r="X31" s="808"/>
      <c r="Y31" s="808"/>
      <c r="Z31" s="808"/>
      <c r="AA31" s="808"/>
      <c r="AB31" s="808"/>
      <c r="AC31" s="808"/>
      <c r="AD31" s="808"/>
      <c r="AE31" s="808"/>
      <c r="AF31" s="808"/>
      <c r="AG31" s="808"/>
      <c r="AH31" s="808"/>
      <c r="AI31" s="808"/>
      <c r="AJ31" s="808"/>
      <c r="AK31" s="808"/>
      <c r="AL31" s="808"/>
      <c r="AM31" s="808"/>
      <c r="AN31" s="808"/>
      <c r="AO31" s="808"/>
      <c r="AP31" s="808"/>
      <c r="AQ31" s="808"/>
      <c r="AR31" s="808"/>
      <c r="AS31" s="808"/>
      <c r="AT31" s="808"/>
      <c r="AU31" s="808"/>
      <c r="AV31" s="808"/>
      <c r="AW31" s="808"/>
      <c r="AX31" s="808"/>
      <c r="AY31" s="808"/>
      <c r="AZ31" s="808"/>
      <c r="BA31" s="808"/>
      <c r="BB31" s="808"/>
      <c r="BC31" s="808"/>
      <c r="BD31" s="808"/>
      <c r="BE31" s="807"/>
      <c r="BF31" s="805"/>
      <c r="CE31"/>
      <c r="CF31"/>
    </row>
    <row r="32" spans="1:84">
      <c r="A32" s="188" t="s">
        <v>366</v>
      </c>
      <c r="B32" s="243">
        <f>SUM(C32:BD32)</f>
        <v>0</v>
      </c>
      <c r="C32" s="819"/>
      <c r="D32" s="819"/>
      <c r="E32" s="819"/>
      <c r="F32" s="819"/>
      <c r="G32" s="819"/>
      <c r="H32" s="819"/>
      <c r="I32" s="785"/>
      <c r="J32" s="785"/>
      <c r="K32" s="819"/>
      <c r="L32" s="819"/>
      <c r="M32" s="819"/>
      <c r="N32" s="819"/>
      <c r="O32" s="819"/>
      <c r="P32" s="819"/>
      <c r="Q32" s="819"/>
      <c r="R32" s="819"/>
      <c r="S32" s="819"/>
      <c r="T32" s="819"/>
      <c r="U32" s="819"/>
      <c r="V32" s="819"/>
      <c r="W32" s="819"/>
      <c r="X32" s="819"/>
      <c r="Y32" s="819"/>
      <c r="Z32" s="819"/>
      <c r="AA32" s="819"/>
      <c r="AB32" s="819"/>
      <c r="AC32" s="819"/>
      <c r="AD32" s="819"/>
      <c r="AE32" s="819"/>
      <c r="AF32" s="819"/>
      <c r="AG32" s="819"/>
      <c r="AH32" s="819"/>
      <c r="AI32" s="819"/>
      <c r="AJ32" s="819"/>
      <c r="AK32" s="819"/>
      <c r="AL32" s="819"/>
      <c r="AM32" s="819"/>
      <c r="AN32" s="819"/>
      <c r="AP32" s="928"/>
      <c r="AQ32" s="928"/>
      <c r="AR32" s="928"/>
      <c r="AS32" s="928"/>
      <c r="AT32" s="928"/>
      <c r="AU32" s="928"/>
      <c r="AV32" s="928"/>
      <c r="AW32" s="928"/>
      <c r="AX32" s="928"/>
      <c r="AY32" s="928"/>
      <c r="AZ32" s="928"/>
      <c r="BA32" s="928"/>
      <c r="BB32" s="928"/>
      <c r="BC32" s="928"/>
      <c r="BD32" s="929"/>
      <c r="BE32" s="179"/>
      <c r="BF32" s="805"/>
      <c r="CE32"/>
      <c r="CF32"/>
    </row>
    <row r="33" spans="1:84">
      <c r="A33" s="930" t="s">
        <v>367</v>
      </c>
      <c r="B33" s="930"/>
      <c r="C33" s="808"/>
      <c r="D33" s="808"/>
      <c r="E33" s="808"/>
      <c r="F33" s="808"/>
      <c r="G33" s="808"/>
      <c r="H33" s="808"/>
      <c r="I33" s="785"/>
      <c r="J33" s="785"/>
      <c r="K33" s="808"/>
      <c r="L33" s="808"/>
      <c r="M33" s="808"/>
      <c r="N33" s="808"/>
      <c r="O33" s="808"/>
      <c r="P33" s="808"/>
      <c r="Q33" s="808"/>
      <c r="R33" s="808"/>
      <c r="S33" s="808"/>
      <c r="T33" s="808"/>
      <c r="U33" s="808"/>
      <c r="V33" s="808"/>
      <c r="W33" s="808"/>
      <c r="X33" s="808"/>
      <c r="Y33" s="808"/>
      <c r="Z33" s="808"/>
      <c r="AA33" s="808"/>
      <c r="AB33" s="808"/>
      <c r="AC33" s="808"/>
      <c r="AD33" s="808"/>
      <c r="AE33" s="808"/>
      <c r="AF33" s="808"/>
      <c r="AG33" s="808"/>
      <c r="AH33" s="808"/>
      <c r="AI33" s="808"/>
      <c r="AJ33" s="808"/>
      <c r="AK33" s="808"/>
      <c r="AL33" s="808"/>
      <c r="AM33" s="808"/>
      <c r="AN33" s="808"/>
      <c r="AO33" s="813"/>
      <c r="AP33" s="813"/>
      <c r="AQ33" s="813"/>
      <c r="AR33" s="813"/>
      <c r="AS33" s="813"/>
      <c r="AT33" s="813"/>
      <c r="AU33" s="813"/>
      <c r="AV33" s="813"/>
      <c r="AW33" s="813"/>
      <c r="AX33" s="813"/>
      <c r="AY33" s="813"/>
      <c r="AZ33" s="813"/>
      <c r="BA33" s="813"/>
      <c r="BB33" s="813"/>
      <c r="BC33" s="813"/>
      <c r="BD33" s="813"/>
      <c r="BE33" s="815"/>
      <c r="BF33" s="805"/>
      <c r="CE33"/>
      <c r="CF33"/>
    </row>
    <row r="34" spans="1:84">
      <c r="A34" s="803" t="s">
        <v>368</v>
      </c>
      <c r="B34" s="544">
        <f>'D Financial'!B85+'D Financial'!B86</f>
        <v>64583900</v>
      </c>
      <c r="C34" s="813"/>
      <c r="D34" s="814"/>
      <c r="E34" s="814"/>
      <c r="F34" s="814"/>
      <c r="G34" s="814"/>
      <c r="H34" s="814"/>
      <c r="I34" s="814"/>
      <c r="J34" s="814"/>
      <c r="K34" s="814"/>
      <c r="L34" s="814"/>
      <c r="M34" s="814"/>
      <c r="N34" s="814"/>
      <c r="O34" s="814"/>
      <c r="P34" s="814"/>
      <c r="Q34" s="814"/>
      <c r="R34" s="814"/>
      <c r="S34" s="814"/>
      <c r="T34" s="814"/>
      <c r="U34" s="814"/>
      <c r="V34" s="814"/>
      <c r="W34" s="814"/>
      <c r="X34" s="814"/>
      <c r="Y34" s="814"/>
      <c r="Z34" s="814"/>
      <c r="AA34" s="814"/>
      <c r="AB34" s="814"/>
      <c r="AC34" s="814"/>
      <c r="AD34" s="814"/>
      <c r="AE34" s="814"/>
      <c r="AF34" s="814"/>
      <c r="AG34" s="814"/>
      <c r="AH34" s="814"/>
      <c r="AI34" s="814"/>
      <c r="AJ34" s="814"/>
      <c r="AK34" s="814"/>
      <c r="AL34" s="814"/>
      <c r="AM34" s="814"/>
      <c r="AN34" s="814"/>
      <c r="AO34" s="814"/>
      <c r="AP34" s="814"/>
      <c r="AQ34" s="814"/>
      <c r="AR34" s="816"/>
      <c r="AS34" s="816"/>
      <c r="AT34" s="813"/>
      <c r="AU34" s="813"/>
      <c r="AV34" s="813"/>
      <c r="AW34" s="813"/>
      <c r="AX34" s="813"/>
      <c r="AY34" s="813"/>
      <c r="AZ34" s="813"/>
      <c r="BA34" s="813"/>
      <c r="BB34" s="813"/>
      <c r="BC34" s="813"/>
      <c r="BD34" s="815"/>
      <c r="BE34" s="815"/>
      <c r="BF34" s="817"/>
      <c r="CE34"/>
      <c r="CF34"/>
    </row>
    <row r="35" spans="1:84">
      <c r="A35" s="793" t="s">
        <v>369</v>
      </c>
      <c r="B35" s="785">
        <f ca="1">SUM(C35:BC35)</f>
        <v>30831500</v>
      </c>
      <c r="C35" s="785">
        <f t="shared" ref="C35:Z35" si="38">-C28</f>
        <v>0</v>
      </c>
      <c r="D35" s="785">
        <f t="shared" si="38"/>
        <v>0</v>
      </c>
      <c r="E35" s="785">
        <f t="shared" si="38"/>
        <v>-1050586.9820000001</v>
      </c>
      <c r="F35" s="785">
        <f t="shared" si="38"/>
        <v>-782194.39999999991</v>
      </c>
      <c r="G35" s="785">
        <f t="shared" si="38"/>
        <v>-351198.4</v>
      </c>
      <c r="H35" s="785">
        <f t="shared" si="38"/>
        <v>-435262.72652112681</v>
      </c>
      <c r="I35" s="819">
        <f t="shared" ref="I35:J35" si="39">-I28</f>
        <v>-136199.20000000001</v>
      </c>
      <c r="J35" s="819">
        <f t="shared" ca="1" si="39"/>
        <v>-2128249.4431408448</v>
      </c>
      <c r="K35" s="785">
        <f t="shared" si="38"/>
        <v>-7649788.4677299997</v>
      </c>
      <c r="L35" s="785">
        <f t="shared" ca="1" si="38"/>
        <v>-4025705.1337300004</v>
      </c>
      <c r="M35" s="785">
        <f t="shared" ca="1" si="38"/>
        <v>-3936305.1337300004</v>
      </c>
      <c r="N35" s="785">
        <f t="shared" ca="1" si="38"/>
        <v>-5501645.1337299999</v>
      </c>
      <c r="O35" s="785">
        <f t="shared" ca="1" si="38"/>
        <v>-6589595.4019391537</v>
      </c>
      <c r="P35" s="785">
        <f t="shared" ca="1" si="38"/>
        <v>0</v>
      </c>
      <c r="Q35" s="785">
        <f t="shared" ca="1" si="38"/>
        <v>0</v>
      </c>
      <c r="R35" s="785">
        <f t="shared" ca="1" si="38"/>
        <v>0</v>
      </c>
      <c r="S35" s="785">
        <f t="shared" ref="S35:U35" ca="1" si="40">-S28</f>
        <v>0</v>
      </c>
      <c r="T35" s="785">
        <f t="shared" ca="1" si="40"/>
        <v>0</v>
      </c>
      <c r="U35" s="785">
        <f t="shared" ca="1" si="40"/>
        <v>0</v>
      </c>
      <c r="V35" s="785">
        <f t="shared" ref="V35:X35" ca="1" si="41">-V28</f>
        <v>0</v>
      </c>
      <c r="W35" s="785">
        <f t="shared" ca="1" si="41"/>
        <v>0</v>
      </c>
      <c r="X35" s="785">
        <f t="shared" ca="1" si="41"/>
        <v>0</v>
      </c>
      <c r="Y35" s="785">
        <f t="shared" ca="1" si="38"/>
        <v>0</v>
      </c>
      <c r="Z35" s="785">
        <f t="shared" ca="1" si="38"/>
        <v>0</v>
      </c>
      <c r="AA35" s="821">
        <f>B34</f>
        <v>64583900</v>
      </c>
      <c r="AB35" s="785"/>
      <c r="AC35" s="785"/>
      <c r="AD35" s="793"/>
      <c r="AE35" s="785"/>
      <c r="AF35" s="785"/>
      <c r="AG35" s="785"/>
      <c r="AH35" s="785"/>
      <c r="AI35" s="785"/>
      <c r="AJ35" s="785"/>
      <c r="AK35" s="785"/>
      <c r="AL35" s="785"/>
      <c r="AM35" s="785"/>
      <c r="AN35" s="785"/>
      <c r="AO35" s="544"/>
      <c r="AP35" s="544"/>
      <c r="AQ35" s="544"/>
      <c r="AR35" s="544"/>
      <c r="AS35" s="544"/>
      <c r="AT35" s="544"/>
      <c r="AU35" s="544"/>
      <c r="AV35" s="544"/>
      <c r="AW35" s="544"/>
      <c r="AX35" s="544"/>
      <c r="AY35" s="544"/>
      <c r="AZ35" s="544"/>
      <c r="BA35" s="544"/>
      <c r="BB35" s="544"/>
      <c r="BC35" s="544"/>
      <c r="BD35" s="815"/>
      <c r="BE35" s="815"/>
      <c r="BF35" s="931"/>
      <c r="CE35"/>
      <c r="CF35"/>
    </row>
    <row r="36" spans="1:84">
      <c r="A36" s="793" t="s">
        <v>422</v>
      </c>
      <c r="B36" s="932">
        <f ca="1">IF(B35&lt;0,0,IRR(C35:AKC35))</f>
        <v>8.4556473292464629E-2</v>
      </c>
      <c r="C36" s="823"/>
      <c r="D36" s="823"/>
      <c r="E36" s="823"/>
      <c r="F36" s="823"/>
      <c r="G36" s="823"/>
      <c r="H36" s="823"/>
      <c r="I36" s="823"/>
      <c r="J36" s="823"/>
      <c r="K36" s="823"/>
      <c r="L36" s="823"/>
      <c r="M36" s="823"/>
      <c r="N36" s="823"/>
      <c r="O36" s="823"/>
      <c r="P36" s="823"/>
      <c r="Q36" s="823"/>
      <c r="R36" s="823"/>
      <c r="S36" s="823"/>
      <c r="T36" s="823"/>
      <c r="U36" s="823"/>
      <c r="V36" s="823"/>
      <c r="W36" s="823"/>
      <c r="X36" s="823"/>
      <c r="Y36" s="823"/>
      <c r="Z36" s="823"/>
      <c r="AA36" s="823"/>
      <c r="AB36" s="823"/>
      <c r="AC36" s="823"/>
      <c r="AD36" s="823"/>
      <c r="AE36" s="823"/>
      <c r="AF36" s="823"/>
      <c r="AG36" s="823"/>
      <c r="AH36" s="823"/>
      <c r="AI36" s="823"/>
      <c r="AJ36" s="823"/>
      <c r="AK36" s="823"/>
      <c r="AL36" s="823"/>
      <c r="AM36" s="823"/>
      <c r="AN36" s="823"/>
      <c r="AO36" s="823"/>
      <c r="AP36" s="823"/>
      <c r="AQ36" s="823"/>
      <c r="AR36" s="823"/>
      <c r="AS36" s="823"/>
      <c r="AT36" s="823"/>
      <c r="AU36" s="823"/>
      <c r="AV36" s="823"/>
      <c r="AW36" s="823"/>
      <c r="AX36" s="823"/>
      <c r="AY36" s="823"/>
      <c r="AZ36" s="823"/>
      <c r="BA36" s="823"/>
      <c r="BB36" s="823"/>
      <c r="BC36" s="823"/>
      <c r="BD36" s="815"/>
      <c r="BE36" s="815"/>
      <c r="BF36" s="933"/>
      <c r="CE36"/>
      <c r="CF36"/>
    </row>
    <row r="37" spans="1:84">
      <c r="A37" s="793" t="s">
        <v>371</v>
      </c>
      <c r="B37" s="934">
        <f ca="1">POWER((1+B36),4)-1</f>
        <v>0.38359404235918815</v>
      </c>
      <c r="C37" s="815"/>
      <c r="D37" s="815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27"/>
      <c r="S37" s="827"/>
      <c r="T37" s="827"/>
      <c r="U37" s="827"/>
      <c r="V37" s="827"/>
      <c r="W37" s="827"/>
      <c r="X37" s="827"/>
      <c r="Y37" s="826"/>
      <c r="Z37" s="826"/>
      <c r="AA37" s="826"/>
      <c r="AB37" s="826"/>
      <c r="AC37" s="826"/>
      <c r="AD37" s="826"/>
      <c r="AE37" s="826"/>
      <c r="AF37" s="826"/>
      <c r="AG37" s="826"/>
      <c r="AH37" s="826"/>
      <c r="AI37" s="826"/>
      <c r="AJ37" s="826"/>
      <c r="AK37" s="826"/>
      <c r="AL37" s="826"/>
      <c r="AM37" s="826"/>
      <c r="AN37" s="826"/>
      <c r="AO37" s="826"/>
      <c r="AP37" s="826"/>
      <c r="AQ37" s="826"/>
      <c r="AR37" s="826"/>
      <c r="AS37" s="826"/>
      <c r="AT37" s="826"/>
      <c r="AU37" s="826"/>
      <c r="AV37" s="826"/>
      <c r="AW37" s="826"/>
      <c r="AX37" s="826"/>
      <c r="AY37" s="826"/>
      <c r="AZ37" s="826"/>
      <c r="BA37" s="826"/>
      <c r="BB37" s="826"/>
      <c r="BC37" s="826"/>
      <c r="BD37" s="815"/>
      <c r="BE37" s="826"/>
      <c r="BF37" s="182"/>
      <c r="CE37"/>
      <c r="CF37"/>
    </row>
    <row r="38" spans="1:84">
      <c r="A38" s="930" t="s">
        <v>372</v>
      </c>
      <c r="B38" s="930"/>
      <c r="C38" s="815"/>
      <c r="D38" s="815"/>
      <c r="E38" s="815"/>
      <c r="F38" s="815"/>
      <c r="G38" s="815"/>
      <c r="H38" s="815"/>
      <c r="I38" s="815"/>
      <c r="J38" s="815"/>
      <c r="K38" s="815"/>
      <c r="L38" s="815"/>
      <c r="M38" s="815"/>
      <c r="N38" s="815"/>
      <c r="O38" s="815"/>
      <c r="P38" s="815"/>
      <c r="Q38" s="815"/>
      <c r="R38" s="815"/>
      <c r="S38" s="815"/>
      <c r="T38" s="815"/>
      <c r="U38" s="815"/>
      <c r="V38" s="815"/>
      <c r="W38" s="815"/>
      <c r="X38" s="815"/>
      <c r="Y38" s="815"/>
      <c r="Z38" s="815"/>
      <c r="AA38" s="815"/>
      <c r="AB38" s="815"/>
      <c r="AC38" s="815"/>
      <c r="AD38" s="815"/>
      <c r="AE38" s="815"/>
      <c r="AF38" s="815"/>
      <c r="AG38" s="815"/>
      <c r="AH38" s="815"/>
      <c r="AI38" s="815"/>
      <c r="AJ38" s="815"/>
      <c r="AK38" s="815"/>
      <c r="AL38" s="815"/>
      <c r="AM38" s="815"/>
      <c r="AN38" s="815"/>
      <c r="AO38" s="815"/>
      <c r="AP38" s="815"/>
      <c r="AQ38" s="815"/>
      <c r="AR38" s="815"/>
      <c r="AS38" s="815"/>
      <c r="AT38" s="815"/>
      <c r="AU38" s="815"/>
      <c r="AV38" s="815"/>
      <c r="AW38" s="815"/>
      <c r="AX38" s="815"/>
      <c r="AY38" s="815"/>
      <c r="AZ38" s="815"/>
      <c r="BA38" s="815"/>
      <c r="BB38" s="815"/>
      <c r="BC38" s="815"/>
      <c r="BD38" s="815"/>
      <c r="BE38" s="815"/>
    </row>
    <row r="39" spans="1:84">
      <c r="A39" s="803" t="s">
        <v>373</v>
      </c>
      <c r="B39" s="544">
        <f>'D Financial'!B85-B26</f>
        <v>137222900</v>
      </c>
      <c r="C39" s="815"/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08"/>
      <c r="P39" s="815"/>
      <c r="Q39" s="815"/>
      <c r="R39" s="815"/>
      <c r="S39" s="815"/>
      <c r="T39" s="815"/>
      <c r="U39" s="815"/>
      <c r="V39" s="815"/>
      <c r="W39" s="815"/>
      <c r="X39" s="815"/>
      <c r="Y39" s="815"/>
      <c r="Z39" s="815"/>
      <c r="AA39" s="808"/>
      <c r="AB39" s="815"/>
      <c r="AC39" s="815"/>
      <c r="AD39" s="815"/>
      <c r="AE39" s="815"/>
      <c r="AF39" s="815"/>
      <c r="AG39" s="815"/>
      <c r="AH39" s="815"/>
      <c r="AI39" s="815"/>
      <c r="AJ39" s="815"/>
      <c r="AK39" s="815"/>
      <c r="AL39" s="815"/>
      <c r="AM39" s="815"/>
      <c r="AN39" s="815"/>
      <c r="AO39" s="815"/>
      <c r="AP39" s="815"/>
      <c r="AQ39" s="815"/>
      <c r="AR39" s="815"/>
      <c r="AS39" s="815"/>
      <c r="AT39" s="815"/>
      <c r="AU39" s="815"/>
      <c r="AV39" s="815"/>
      <c r="AW39" s="815"/>
      <c r="AX39" s="815"/>
      <c r="AY39" s="815"/>
      <c r="AZ39" s="815"/>
      <c r="BA39" s="815"/>
      <c r="BB39" s="815"/>
      <c r="BC39" s="815"/>
      <c r="BD39" s="815"/>
      <c r="BE39" s="815"/>
    </row>
    <row r="40" spans="1:84">
      <c r="A40" s="793" t="s">
        <v>374</v>
      </c>
      <c r="B40" s="785">
        <f>SUM(C40:BC40)</f>
        <v>34104357.520188764</v>
      </c>
      <c r="C40" s="785">
        <f>-C25</f>
        <v>0</v>
      </c>
      <c r="D40" s="785">
        <f t="shared" ref="D40:Z40" si="42">-D25</f>
        <v>0</v>
      </c>
      <c r="E40" s="785">
        <f t="shared" si="42"/>
        <v>-1050586.9820000001</v>
      </c>
      <c r="F40" s="785">
        <f t="shared" si="42"/>
        <v>-782194.39999999991</v>
      </c>
      <c r="G40" s="785">
        <f t="shared" si="42"/>
        <v>-351198.4</v>
      </c>
      <c r="H40" s="785">
        <f t="shared" si="42"/>
        <v>-435262.72652112681</v>
      </c>
      <c r="I40" s="785">
        <f t="shared" ref="I40:J40" si="43">-I25</f>
        <v>-136199.20000000001</v>
      </c>
      <c r="J40" s="785">
        <f t="shared" si="43"/>
        <v>-1876479.68</v>
      </c>
      <c r="K40" s="785">
        <f t="shared" si="42"/>
        <v>-7649788.4677299997</v>
      </c>
      <c r="L40" s="785">
        <f t="shared" si="42"/>
        <v>-3944068.42973</v>
      </c>
      <c r="M40" s="785">
        <f t="shared" si="42"/>
        <v>-3855068.42973</v>
      </c>
      <c r="N40" s="785">
        <f t="shared" si="42"/>
        <v>-5420408.42973</v>
      </c>
      <c r="O40" s="785">
        <f t="shared" si="42"/>
        <v>-3855068.42973</v>
      </c>
      <c r="P40" s="785">
        <f t="shared" si="42"/>
        <v>-5157286.462335634</v>
      </c>
      <c r="Q40" s="785">
        <f t="shared" si="42"/>
        <v>-3855068.42973</v>
      </c>
      <c r="R40" s="785">
        <f t="shared" si="42"/>
        <v>-7710136.8594599999</v>
      </c>
      <c r="S40" s="785">
        <f t="shared" ref="S40:U40" si="44">-S25</f>
        <v>-8322636.8594599999</v>
      </c>
      <c r="T40" s="785">
        <f t="shared" si="44"/>
        <v>-10004996.85946</v>
      </c>
      <c r="U40" s="785">
        <f t="shared" si="44"/>
        <v>-9392496.8594599999</v>
      </c>
      <c r="V40" s="785">
        <f t="shared" ref="V40:X40" si="45">-V25</f>
        <v>-9392496.8594599999</v>
      </c>
      <c r="W40" s="785">
        <f t="shared" si="45"/>
        <v>-9392496.8594599999</v>
      </c>
      <c r="X40" s="785">
        <f t="shared" si="45"/>
        <v>-5937428.42973</v>
      </c>
      <c r="Y40" s="785">
        <f t="shared" si="42"/>
        <v>-2072854.4260845073</v>
      </c>
      <c r="Z40" s="785">
        <f t="shared" si="42"/>
        <v>-1262160</v>
      </c>
      <c r="AA40" s="824">
        <f>B39-AA25</f>
        <v>135960740</v>
      </c>
      <c r="AB40" s="785"/>
      <c r="AC40" s="785"/>
      <c r="AD40" s="793"/>
      <c r="AE40" s="785"/>
      <c r="AF40" s="785"/>
      <c r="AG40" s="785"/>
      <c r="AH40" s="785"/>
      <c r="AI40" s="785"/>
      <c r="AJ40" s="785"/>
      <c r="AK40" s="785"/>
      <c r="AL40" s="785"/>
      <c r="AM40" s="785"/>
      <c r="AN40" s="785"/>
      <c r="AO40" s="785"/>
      <c r="AP40" s="785"/>
      <c r="AQ40" s="785"/>
      <c r="AR40" s="785"/>
      <c r="AS40" s="785"/>
      <c r="AT40" s="785"/>
      <c r="AU40" s="785"/>
      <c r="AV40" s="785"/>
      <c r="AW40" s="785"/>
      <c r="AX40" s="785"/>
      <c r="AY40" s="785"/>
      <c r="AZ40" s="785"/>
      <c r="BA40" s="785"/>
      <c r="BB40" s="785"/>
      <c r="BC40" s="785"/>
      <c r="BD40" s="793"/>
      <c r="BE40" s="793"/>
    </row>
    <row r="41" spans="1:84">
      <c r="A41" s="793" t="s">
        <v>375</v>
      </c>
      <c r="B41" s="932">
        <f>IF(B40&lt;0,0,IRR(C40:BC40))</f>
        <v>3.1726636390539742E-2</v>
      </c>
      <c r="C41" s="815"/>
      <c r="D41" s="815"/>
      <c r="E41" s="815"/>
      <c r="F41" s="815"/>
      <c r="G41" s="815"/>
      <c r="H41" s="815"/>
      <c r="I41" s="815"/>
      <c r="J41" s="815"/>
      <c r="K41" s="815"/>
      <c r="L41" s="815"/>
      <c r="M41" s="815"/>
      <c r="N41" s="815"/>
      <c r="O41" s="815"/>
      <c r="P41" s="815"/>
      <c r="Q41" s="815"/>
      <c r="R41" s="815"/>
      <c r="S41" s="815"/>
      <c r="T41" s="815"/>
      <c r="U41" s="815"/>
      <c r="V41" s="815"/>
      <c r="W41" s="815"/>
      <c r="X41" s="815"/>
      <c r="Y41" s="815"/>
      <c r="Z41" s="815"/>
      <c r="AA41" s="815"/>
      <c r="AB41" s="815"/>
      <c r="AC41" s="815"/>
      <c r="AD41" s="815"/>
      <c r="AE41" s="815"/>
      <c r="AF41" s="815"/>
      <c r="AG41" s="815"/>
      <c r="AH41" s="815"/>
      <c r="AI41" s="815"/>
      <c r="AJ41" s="815"/>
      <c r="AK41" s="815"/>
      <c r="AL41" s="815"/>
      <c r="AM41" s="815"/>
      <c r="AN41" s="815"/>
      <c r="AO41" s="815"/>
      <c r="AP41" s="815"/>
      <c r="AQ41" s="815"/>
      <c r="AR41" s="815"/>
      <c r="AS41" s="815"/>
      <c r="AT41" s="815"/>
      <c r="AU41" s="815"/>
      <c r="AV41" s="815"/>
      <c r="AW41" s="815"/>
      <c r="AX41" s="815"/>
      <c r="AY41" s="815"/>
      <c r="AZ41" s="815"/>
      <c r="BA41" s="815"/>
      <c r="BB41" s="815"/>
      <c r="BC41" s="815"/>
      <c r="BD41" s="815"/>
      <c r="BE41" s="815"/>
    </row>
    <row r="42" spans="1:84">
      <c r="A42" s="793" t="s">
        <v>376</v>
      </c>
      <c r="B42" s="934">
        <f>POWER((1+B41),4)-1</f>
        <v>0.13307477702598502</v>
      </c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15"/>
      <c r="P42" s="815"/>
      <c r="Q42" s="815"/>
      <c r="R42" s="815"/>
      <c r="S42" s="815"/>
      <c r="T42" s="815"/>
      <c r="U42" s="815"/>
      <c r="V42" s="815"/>
      <c r="W42" s="815"/>
      <c r="X42" s="815"/>
      <c r="Y42" s="815"/>
      <c r="Z42" s="815"/>
      <c r="AA42" s="815"/>
      <c r="AB42" s="815"/>
      <c r="AC42" s="815"/>
      <c r="AD42" s="815"/>
      <c r="AE42" s="815"/>
      <c r="AF42" s="815"/>
      <c r="AG42" s="815"/>
      <c r="AH42" s="815"/>
      <c r="AI42" s="815"/>
      <c r="AJ42" s="815"/>
      <c r="AK42" s="815"/>
      <c r="AL42" s="815"/>
      <c r="AM42" s="815"/>
      <c r="AN42" s="815"/>
      <c r="AO42" s="815"/>
      <c r="AP42" s="815"/>
      <c r="AQ42" s="815"/>
      <c r="AR42" s="815"/>
      <c r="AS42" s="815"/>
      <c r="AT42" s="815"/>
      <c r="AU42" s="815"/>
      <c r="AV42" s="815"/>
      <c r="AW42" s="815"/>
      <c r="AX42" s="815"/>
      <c r="AY42" s="815"/>
      <c r="AZ42" s="815"/>
      <c r="BA42" s="815"/>
      <c r="BB42" s="815"/>
      <c r="BC42" s="815"/>
      <c r="BD42" s="815"/>
      <c r="BE42" s="815"/>
    </row>
    <row r="43" spans="1:84">
      <c r="G43" s="18"/>
      <c r="AJ43" s="18"/>
      <c r="AM43" s="18"/>
      <c r="AQ43" s="18"/>
    </row>
    <row r="44" spans="1:84">
      <c r="G44" s="18"/>
      <c r="AJ44" s="18"/>
      <c r="AM44" s="18"/>
      <c r="AQ44" s="18"/>
    </row>
    <row r="45" spans="1:84">
      <c r="G45" s="18"/>
      <c r="AJ45" s="18"/>
      <c r="AM45" s="18"/>
      <c r="AQ45" s="18"/>
    </row>
    <row r="46" spans="1:84">
      <c r="G46" s="18"/>
      <c r="AJ46" s="18"/>
      <c r="AM46" s="18"/>
      <c r="AQ46" s="18"/>
    </row>
    <row r="47" spans="1:84">
      <c r="G47" s="18"/>
      <c r="AJ47" s="18"/>
      <c r="AM47" s="18"/>
      <c r="AQ47" s="18"/>
    </row>
    <row r="48" spans="1:84">
      <c r="G48" s="18"/>
      <c r="AJ48" s="18"/>
      <c r="AM48" s="18"/>
      <c r="AQ48" s="18"/>
    </row>
    <row r="49" spans="7:43">
      <c r="G49" s="18"/>
      <c r="AJ49" s="18"/>
      <c r="AM49" s="18"/>
      <c r="AQ49" s="18"/>
    </row>
    <row r="50" spans="7:43">
      <c r="G50" s="18"/>
    </row>
    <row r="51" spans="7:43">
      <c r="G51" s="18"/>
    </row>
    <row r="52" spans="7:43">
      <c r="G52" s="18"/>
    </row>
    <row r="53" spans="7:43">
      <c r="G53" s="18"/>
    </row>
    <row r="54" spans="7:43">
      <c r="G54" s="18"/>
    </row>
    <row r="55" spans="7:43">
      <c r="G55" s="18"/>
    </row>
    <row r="56" spans="7:43">
      <c r="G56" s="18"/>
    </row>
    <row r="57" spans="7:43">
      <c r="G57" s="18"/>
    </row>
    <row r="58" spans="7:43">
      <c r="G58" s="18"/>
    </row>
    <row r="59" spans="7:43">
      <c r="G59" s="18"/>
    </row>
    <row r="60" spans="7:43">
      <c r="G60" s="18"/>
    </row>
    <row r="61" spans="7:43">
      <c r="G61" s="18"/>
    </row>
    <row r="62" spans="7:43">
      <c r="G62" s="18"/>
    </row>
    <row r="63" spans="7:43">
      <c r="G63" s="18"/>
    </row>
    <row r="64" spans="7:43">
      <c r="G64" s="18"/>
    </row>
    <row r="65" spans="7:7">
      <c r="G65" s="18"/>
    </row>
    <row r="66" spans="7:7">
      <c r="G66" s="18"/>
    </row>
    <row r="67" spans="7:7">
      <c r="G67" s="18"/>
    </row>
    <row r="68" spans="7:7">
      <c r="G68" s="18"/>
    </row>
    <row r="69" spans="7:7">
      <c r="G69" s="18"/>
    </row>
    <row r="70" spans="7:7">
      <c r="G70" s="18"/>
    </row>
    <row r="71" spans="7:7">
      <c r="G71" s="18"/>
    </row>
    <row r="72" spans="7:7">
      <c r="G72" s="18"/>
    </row>
    <row r="73" spans="7:7">
      <c r="G73" s="18"/>
    </row>
    <row r="74" spans="7:7">
      <c r="G74" s="18"/>
    </row>
    <row r="75" spans="7:7">
      <c r="G75" s="18"/>
    </row>
    <row r="76" spans="7:7">
      <c r="G76" s="18"/>
    </row>
    <row r="77" spans="7:7">
      <c r="G77" s="18"/>
    </row>
    <row r="78" spans="7:7">
      <c r="G78" s="18"/>
    </row>
    <row r="79" spans="7:7">
      <c r="G79" s="18"/>
    </row>
    <row r="80" spans="7:7">
      <c r="G80" s="18"/>
    </row>
    <row r="81" spans="7:7">
      <c r="G81" s="18"/>
    </row>
    <row r="82" spans="7:7">
      <c r="G82" s="18"/>
    </row>
    <row r="83" spans="7:7">
      <c r="G83" s="18"/>
    </row>
    <row r="84" spans="7:7">
      <c r="G84" s="18"/>
    </row>
    <row r="85" spans="7:7">
      <c r="G85" s="18"/>
    </row>
    <row r="86" spans="7:7">
      <c r="G86" s="18"/>
    </row>
    <row r="87" spans="7:7">
      <c r="G87" s="18"/>
    </row>
    <row r="88" spans="7:7">
      <c r="G88" s="18"/>
    </row>
    <row r="89" spans="7:7">
      <c r="G89" s="18"/>
    </row>
    <row r="90" spans="7:7">
      <c r="G90" s="18"/>
    </row>
    <row r="91" spans="7:7">
      <c r="G91" s="18"/>
    </row>
    <row r="92" spans="7:7">
      <c r="G92" s="18"/>
    </row>
    <row r="93" spans="7:7">
      <c r="G93" s="18"/>
    </row>
    <row r="94" spans="7:7">
      <c r="G94" s="18"/>
    </row>
    <row r="95" spans="7:7">
      <c r="G95" s="18"/>
    </row>
    <row r="96" spans="7:7">
      <c r="G96" s="18"/>
    </row>
    <row r="97" spans="7:7">
      <c r="G97" s="18"/>
    </row>
    <row r="98" spans="7:7">
      <c r="G98" s="18"/>
    </row>
    <row r="99" spans="7:7">
      <c r="G99" s="18"/>
    </row>
    <row r="100" spans="7:7">
      <c r="G100" s="18"/>
    </row>
    <row r="101" spans="7:7">
      <c r="G101" s="18"/>
    </row>
    <row r="102" spans="7:7">
      <c r="G102" s="18"/>
    </row>
    <row r="103" spans="7:7">
      <c r="G103" s="18"/>
    </row>
    <row r="104" spans="7:7">
      <c r="G104" s="18"/>
    </row>
    <row r="105" spans="7:7">
      <c r="G105" s="18"/>
    </row>
    <row r="106" spans="7:7">
      <c r="G106" s="18"/>
    </row>
    <row r="107" spans="7:7">
      <c r="G107" s="18"/>
    </row>
    <row r="108" spans="7:7">
      <c r="G108" s="18"/>
    </row>
    <row r="109" spans="7:7">
      <c r="G109" s="18"/>
    </row>
    <row r="110" spans="7:7">
      <c r="G110" s="18"/>
    </row>
    <row r="111" spans="7:7">
      <c r="G111" s="18"/>
    </row>
    <row r="112" spans="7:7">
      <c r="G112" s="18"/>
    </row>
    <row r="113" spans="7:7">
      <c r="G113" s="18"/>
    </row>
    <row r="114" spans="7:7">
      <c r="G114" s="18"/>
    </row>
    <row r="115" spans="7:7">
      <c r="G115" s="18"/>
    </row>
    <row r="116" spans="7:7">
      <c r="G116" s="18"/>
    </row>
    <row r="117" spans="7:7">
      <c r="G117" s="18"/>
    </row>
    <row r="118" spans="7:7">
      <c r="G118" s="18"/>
    </row>
    <row r="119" spans="7:7">
      <c r="G119" s="18"/>
    </row>
    <row r="120" spans="7:7">
      <c r="G120" s="18"/>
    </row>
    <row r="121" spans="7:7">
      <c r="G121" s="18"/>
    </row>
    <row r="122" spans="7:7">
      <c r="G122" s="18"/>
    </row>
    <row r="123" spans="7:7">
      <c r="G123" s="18"/>
    </row>
    <row r="124" spans="7:7">
      <c r="G124" s="18"/>
    </row>
    <row r="125" spans="7:7">
      <c r="G125" s="18"/>
    </row>
    <row r="126" spans="7:7">
      <c r="G126" s="18"/>
    </row>
    <row r="127" spans="7:7">
      <c r="G127" s="18"/>
    </row>
    <row r="128" spans="7:7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</sheetData>
  <mergeCells count="2">
    <mergeCell ref="A1:A3"/>
    <mergeCell ref="BD2:BF2"/>
  </mergeCells>
  <conditionalFormatting sqref="D3:H3 K3:BF3">
    <cfRule type="cellIs" dxfId="27" priority="13" operator="equal">
      <formula>#REF!</formula>
    </cfRule>
    <cfRule type="cellIs" dxfId="26" priority="14" operator="equal">
      <formula>#REF!</formula>
    </cfRule>
  </conditionalFormatting>
  <conditionalFormatting sqref="D3:H3 K3:BF3">
    <cfRule type="cellIs" dxfId="25" priority="15" operator="equal">
      <formula>#REF!</formula>
    </cfRule>
    <cfRule type="cellIs" dxfId="24" priority="16" operator="equal">
      <formula>#REF!</formula>
    </cfRule>
  </conditionalFormatting>
  <conditionalFormatting sqref="AC4:BC4">
    <cfRule type="cellIs" dxfId="23" priority="9" operator="equal">
      <formula>#REF!</formula>
    </cfRule>
    <cfRule type="cellIs" dxfId="22" priority="10" operator="equal">
      <formula>#REF!</formula>
    </cfRule>
  </conditionalFormatting>
  <conditionalFormatting sqref="AC4:BC4">
    <cfRule type="cellIs" dxfId="21" priority="11" operator="equal">
      <formula>#REF!</formula>
    </cfRule>
    <cfRule type="cellIs" dxfId="20" priority="12" operator="equal">
      <formula>#REF!</formula>
    </cfRule>
  </conditionalFormatting>
  <conditionalFormatting sqref="AG4:AK4">
    <cfRule type="cellIs" dxfId="19" priority="5" operator="equal">
      <formula>#REF!</formula>
    </cfRule>
    <cfRule type="cellIs" dxfId="18" priority="6" operator="equal">
      <formula>#REF!</formula>
    </cfRule>
  </conditionalFormatting>
  <conditionalFormatting sqref="AG4:AK4">
    <cfRule type="cellIs" dxfId="17" priority="7" operator="equal">
      <formula>#REF!</formula>
    </cfRule>
    <cfRule type="cellIs" dxfId="16" priority="8" operator="equal">
      <formula>#REF!</formula>
    </cfRule>
  </conditionalFormatting>
  <conditionalFormatting sqref="I3:J3">
    <cfRule type="cellIs" dxfId="15" priority="1" operator="equal">
      <formula>#REF!</formula>
    </cfRule>
    <cfRule type="cellIs" dxfId="14" priority="2" operator="equal">
      <formula>#REF!</formula>
    </cfRule>
  </conditionalFormatting>
  <conditionalFormatting sqref="I3:J3">
    <cfRule type="cellIs" dxfId="13" priority="3" operator="equal">
      <formula>#REF!</formula>
    </cfRule>
    <cfRule type="cellIs" dxfId="12" priority="4" operator="equal">
      <formula>#REF!</formula>
    </cfRule>
  </conditionalFormatting>
  <pageMargins left="0.7" right="0.7" top="0.75" bottom="0.75" header="0.3" footer="0.3"/>
  <pageSetup orientation="portrait" horizontalDpi="1200" verticalDpi="1200" r:id="rId1"/>
  <headerFooter>
    <oddHeader>&amp;C&amp;"Calibri,Regular"&amp;K000000OVERALL DRAW</oddHeader>
    <oddFooter>&amp;C&amp;"Calibri,Regular"&amp;K000000PAGE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2F2C-E2E0-4252-85C5-77BC5457C24C}">
  <sheetPr>
    <tabColor rgb="FF0070C0"/>
  </sheetPr>
  <dimension ref="A1:BW567"/>
  <sheetViews>
    <sheetView workbookViewId="0">
      <selection activeCell="E25" sqref="E25"/>
    </sheetView>
  </sheetViews>
  <sheetFormatPr defaultColWidth="8.85546875" defaultRowHeight="14.45"/>
  <cols>
    <col min="1" max="1" width="35.42578125" style="18" customWidth="1"/>
    <col min="2" max="2" width="14.42578125" style="18" customWidth="1"/>
    <col min="3" max="6" width="13.85546875" style="18" customWidth="1"/>
    <col min="7" max="7" width="13.85546875" style="162" customWidth="1"/>
    <col min="8" max="27" width="13.85546875" style="18" customWidth="1"/>
    <col min="28" max="28" width="13.85546875" style="163" customWidth="1"/>
    <col min="29" max="30" width="13.85546875" style="18" customWidth="1"/>
    <col min="31" max="31" width="13.85546875" style="163" customWidth="1"/>
    <col min="32" max="34" width="13.85546875" style="18" customWidth="1"/>
    <col min="35" max="35" width="13.85546875" style="164" customWidth="1"/>
    <col min="36" max="47" width="13.85546875" style="18" customWidth="1"/>
    <col min="48" max="48" width="17" style="18" customWidth="1"/>
    <col min="49" max="71" width="17" customWidth="1"/>
    <col min="72" max="72" width="16.5703125" customWidth="1"/>
    <col min="73" max="73" width="15" customWidth="1"/>
    <col min="74" max="74" width="17.85546875" bestFit="1" customWidth="1"/>
    <col min="75" max="75" width="9.5703125" bestFit="1" customWidth="1"/>
    <col min="76" max="76" width="11.85546875" style="18" bestFit="1" customWidth="1"/>
    <col min="77" max="78" width="9.5703125" style="18" bestFit="1" customWidth="1"/>
    <col min="79" max="16384" width="8.85546875" style="18"/>
  </cols>
  <sheetData>
    <row r="1" spans="1:48">
      <c r="A1" s="466" t="s">
        <v>423</v>
      </c>
      <c r="G1" s="18"/>
      <c r="AB1"/>
      <c r="AC1"/>
      <c r="AD1"/>
      <c r="AE1"/>
      <c r="AI1" s="18"/>
    </row>
    <row r="2" spans="1:48">
      <c r="A2" s="466"/>
      <c r="G2" s="18"/>
      <c r="AB2"/>
      <c r="AC2"/>
      <c r="AD2"/>
      <c r="AE2"/>
      <c r="AI2" s="18"/>
      <c r="AV2" s="165" t="s">
        <v>202</v>
      </c>
    </row>
    <row r="3" spans="1:48" ht="15" thickBot="1">
      <c r="A3" s="490"/>
      <c r="B3" s="917" t="s">
        <v>424</v>
      </c>
      <c r="C3" s="935">
        <v>45292</v>
      </c>
      <c r="D3" s="774">
        <f>EOMONTH(C3,3)</f>
        <v>45412</v>
      </c>
      <c r="E3" s="774">
        <f t="shared" ref="E3:AU3" si="0">EOMONTH(D3,3)</f>
        <v>45504</v>
      </c>
      <c r="F3" s="774">
        <f t="shared" si="0"/>
        <v>45596</v>
      </c>
      <c r="G3" s="774">
        <f t="shared" si="0"/>
        <v>45688</v>
      </c>
      <c r="H3" s="774">
        <f t="shared" si="0"/>
        <v>45777</v>
      </c>
      <c r="I3" s="774">
        <f t="shared" si="0"/>
        <v>45869</v>
      </c>
      <c r="J3" s="774">
        <f t="shared" si="0"/>
        <v>45961</v>
      </c>
      <c r="K3" s="774">
        <f t="shared" si="0"/>
        <v>46053</v>
      </c>
      <c r="L3" s="774">
        <f t="shared" si="0"/>
        <v>46142</v>
      </c>
      <c r="M3" s="774">
        <f t="shared" si="0"/>
        <v>46234</v>
      </c>
      <c r="N3" s="774">
        <f t="shared" si="0"/>
        <v>46326</v>
      </c>
      <c r="O3" s="774">
        <f t="shared" si="0"/>
        <v>46418</v>
      </c>
      <c r="P3" s="774">
        <f t="shared" si="0"/>
        <v>46507</v>
      </c>
      <c r="Q3" s="774">
        <f t="shared" si="0"/>
        <v>46599</v>
      </c>
      <c r="R3" s="774">
        <f t="shared" si="0"/>
        <v>46691</v>
      </c>
      <c r="S3" s="774">
        <f t="shared" si="0"/>
        <v>46783</v>
      </c>
      <c r="T3" s="774">
        <f t="shared" si="0"/>
        <v>46873</v>
      </c>
      <c r="U3" s="774">
        <f t="shared" si="0"/>
        <v>46965</v>
      </c>
      <c r="V3" s="774">
        <f t="shared" si="0"/>
        <v>47057</v>
      </c>
      <c r="W3" s="774">
        <f t="shared" si="0"/>
        <v>47149</v>
      </c>
      <c r="X3" s="774">
        <f t="shared" si="0"/>
        <v>47238</v>
      </c>
      <c r="Y3" s="774">
        <f t="shared" si="0"/>
        <v>47330</v>
      </c>
      <c r="Z3" s="774">
        <f t="shared" si="0"/>
        <v>47422</v>
      </c>
      <c r="AA3" s="774">
        <f t="shared" si="0"/>
        <v>47514</v>
      </c>
      <c r="AB3" s="774">
        <f t="shared" si="0"/>
        <v>47603</v>
      </c>
      <c r="AC3" s="774">
        <f t="shared" si="0"/>
        <v>47695</v>
      </c>
      <c r="AD3" s="774">
        <f t="shared" si="0"/>
        <v>47787</v>
      </c>
      <c r="AE3" s="774">
        <f t="shared" si="0"/>
        <v>47879</v>
      </c>
      <c r="AF3" s="774">
        <f t="shared" si="0"/>
        <v>47968</v>
      </c>
      <c r="AG3" s="774">
        <f t="shared" si="0"/>
        <v>48060</v>
      </c>
      <c r="AH3" s="774">
        <f t="shared" si="0"/>
        <v>48152</v>
      </c>
      <c r="AI3" s="774">
        <f t="shared" si="0"/>
        <v>48244</v>
      </c>
      <c r="AJ3" s="774">
        <f t="shared" si="0"/>
        <v>48334</v>
      </c>
      <c r="AK3" s="774">
        <f t="shared" si="0"/>
        <v>48426</v>
      </c>
      <c r="AL3" s="774">
        <f t="shared" si="0"/>
        <v>48518</v>
      </c>
      <c r="AM3" s="774">
        <f t="shared" si="0"/>
        <v>48610</v>
      </c>
      <c r="AN3" s="774">
        <f t="shared" si="0"/>
        <v>48699</v>
      </c>
      <c r="AO3" s="774">
        <f t="shared" si="0"/>
        <v>48791</v>
      </c>
      <c r="AP3" s="774">
        <f t="shared" si="0"/>
        <v>48883</v>
      </c>
      <c r="AQ3" s="774">
        <f t="shared" si="0"/>
        <v>48975</v>
      </c>
      <c r="AR3" s="774">
        <f t="shared" si="0"/>
        <v>49064</v>
      </c>
      <c r="AS3" s="774">
        <f t="shared" si="0"/>
        <v>49156</v>
      </c>
      <c r="AT3" s="774">
        <f t="shared" si="0"/>
        <v>49248</v>
      </c>
      <c r="AU3" s="774">
        <f t="shared" si="0"/>
        <v>49340</v>
      </c>
      <c r="AV3" s="776"/>
    </row>
    <row r="4" spans="1:48">
      <c r="A4" s="803" t="s">
        <v>369</v>
      </c>
      <c r="B4" s="785">
        <f ca="1">SUM(C4:AU4)</f>
        <v>80687029.047960401</v>
      </c>
      <c r="C4" s="785">
        <f>'D DRAW'!C35+'C Draw'!C36+'A DRAW'!C37</f>
        <v>0</v>
      </c>
      <c r="D4" s="785">
        <f>'D DRAW'!D35+'C Draw'!D36+'A DRAW'!D37</f>
        <v>0</v>
      </c>
      <c r="E4" s="785">
        <f>'D DRAW'!E35+'C Draw'!E36+'A DRAW'!E37+'B DRAW'!E37</f>
        <v>-3713321.6249999995</v>
      </c>
      <c r="F4" s="785">
        <f>'D DRAW'!F35+'C Draw'!F36+'A DRAW'!F37+'B DRAW'!F37</f>
        <v>-2894372.6149999998</v>
      </c>
      <c r="G4" s="785">
        <f>'D DRAW'!G35+'C Draw'!G36+'A DRAW'!G37+'B DRAW'!G37</f>
        <v>-1155257.8049999999</v>
      </c>
      <c r="H4" s="785">
        <f>'D DRAW'!H35+'C Draw'!H36+'A DRAW'!H37+'B DRAW'!H37</f>
        <v>-4810735.101311611</v>
      </c>
      <c r="I4" s="785">
        <f>'D DRAW'!I35+'C Draw'!I36+'A DRAW'!I37+'B DRAW'!I37</f>
        <v>-4320389.3945603082</v>
      </c>
      <c r="J4" s="785">
        <f ca="1">'D DRAW'!J35+'C Draw'!J36+'A DRAW'!J37+'B DRAW'!J37</f>
        <v>-3749592.27</v>
      </c>
      <c r="K4" s="785">
        <f>'D DRAW'!K35+'C Draw'!K36+'A DRAW'!K37+'B DRAW'!K37</f>
        <v>-25070404.135285214</v>
      </c>
      <c r="L4" s="785">
        <f ca="1">'D DRAW'!L35+'C Draw'!L36+'A DRAW'!L37+'B DRAW'!L37</f>
        <v>-3749592.27</v>
      </c>
      <c r="M4" s="785">
        <f ca="1">'D DRAW'!M35+'C Draw'!M36+'A DRAW'!M37+'B DRAW'!M37</f>
        <v>-3749592.27</v>
      </c>
      <c r="N4" s="785">
        <f ca="1">'D DRAW'!N35+'C Draw'!N36+'A DRAW'!N37+'B DRAW'!N37</f>
        <v>-3749592.27</v>
      </c>
      <c r="O4" s="785">
        <f ca="1">'D DRAW'!O35+'C Draw'!O36+'A DRAW'!O37+'B DRAW'!O37</f>
        <v>-3749592.27</v>
      </c>
      <c r="P4" s="785">
        <f ca="1">'D DRAW'!P35+'C Draw'!P36+'A DRAW'!P37+'B DRAW'!P37</f>
        <v>-3749592.27</v>
      </c>
      <c r="Q4" s="785">
        <f ca="1">'D DRAW'!Q35+'C Draw'!Q36+'A DRAW'!Q37+'B DRAW'!Q37</f>
        <v>-3749592.27</v>
      </c>
      <c r="R4" s="785">
        <f ca="1">'D DRAW'!R35+'C Draw'!R36+'A DRAW'!R37+'B DRAW'!R37</f>
        <v>-3749592.27</v>
      </c>
      <c r="S4" s="785">
        <f ca="1">'D DRAW'!S35+'C Draw'!S36+'A DRAW'!S37+'B DRAW'!S37</f>
        <v>-3749592.27</v>
      </c>
      <c r="T4" s="785">
        <f ca="1">'D DRAW'!T35+'C Draw'!T36+'A DRAW'!T37+'B DRAW'!T37</f>
        <v>-3749592.27</v>
      </c>
      <c r="U4" s="785">
        <f ca="1">'D DRAW'!U35+'C Draw'!U36+'A DRAW'!U37+'B DRAW'!U37</f>
        <v>-3749592.27</v>
      </c>
      <c r="V4" s="785">
        <f ca="1">'D DRAW'!V35+'C Draw'!V36+'A DRAW'!V37+'B DRAW'!V37</f>
        <v>-3749592.27</v>
      </c>
      <c r="W4" s="785">
        <f ca="1">'D DRAW'!W35+'C Draw'!W36+'A DRAW'!W37+'B DRAW'!W37</f>
        <v>-3749592.27</v>
      </c>
      <c r="X4" s="785">
        <f ca="1">'D DRAW'!X35+'C Draw'!X36+'A DRAW'!X37+'B DRAW'!X37</f>
        <v>-3749592.27</v>
      </c>
      <c r="Y4" s="785">
        <f ca="1">'D DRAW'!Y35+'C Draw'!Y36+'A DRAW'!Y37+'B DRAW'!Y37</f>
        <v>-3749592.27</v>
      </c>
      <c r="Z4" s="785">
        <f ca="1">'D DRAW'!Z35+'C Draw'!Z36+'A DRAW'!Z37+'B DRAW'!Z37</f>
        <v>-3749592.27</v>
      </c>
      <c r="AA4" s="785">
        <f>'D DRAW'!AA35+'C Draw'!AA36+'A DRAW'!AA37+'B DRAW'!AA37</f>
        <v>64583900</v>
      </c>
      <c r="AB4" s="785">
        <f>'D DRAW'!AB35+'C Draw'!AB36+'A DRAW'!AB37+'B DRAW'!AB37</f>
        <v>0</v>
      </c>
      <c r="AC4" s="785">
        <f>'D DRAW'!AC35+'C Draw'!AC36+'A DRAW'!AC37+'B DRAW'!AC37</f>
        <v>0</v>
      </c>
      <c r="AD4" s="785">
        <f>'D DRAW'!AD35+'C Draw'!AD36+'A DRAW'!AD37+'B DRAW'!AD37</f>
        <v>0</v>
      </c>
      <c r="AE4" s="785">
        <f>'D DRAW'!AE35+'C Draw'!AE36+'A DRAW'!AE37+'B DRAW'!AE37</f>
        <v>0</v>
      </c>
      <c r="AF4" s="785">
        <f>'D DRAW'!AF35+'C Draw'!AF36+'A DRAW'!AF37+'B DRAW'!AF37</f>
        <v>0</v>
      </c>
      <c r="AG4" s="785">
        <f>'D DRAW'!AG35+'C Draw'!AG36+'A DRAW'!AG37+'B DRAW'!AG37</f>
        <v>0</v>
      </c>
      <c r="AH4" s="785">
        <f>'D DRAW'!AH35+'C Draw'!AH36+'A DRAW'!AH37+'B DRAW'!AH37</f>
        <v>0</v>
      </c>
      <c r="AI4" s="785">
        <f>'D DRAW'!AI35+'C Draw'!AI36+'A DRAW'!AI37+'B DRAW'!AI37</f>
        <v>0</v>
      </c>
      <c r="AJ4" s="785">
        <f>'D DRAW'!AJ35+'C Draw'!AJ36+'A DRAW'!AJ37+'B DRAW'!AJ37</f>
        <v>0</v>
      </c>
      <c r="AK4" s="785">
        <f>'D DRAW'!AK35+'C Draw'!AK36+'A DRAW'!AK37+'B DRAW'!AK37</f>
        <v>0</v>
      </c>
      <c r="AL4" s="785">
        <f>'D DRAW'!AL35+'C Draw'!AL36+'A DRAW'!AL37+'B DRAW'!AL37</f>
        <v>0</v>
      </c>
      <c r="AM4" s="785">
        <f>'D DRAW'!AM35+'C Draw'!AM36+'A DRAW'!AM37+'B DRAW'!AM37</f>
        <v>0</v>
      </c>
      <c r="AN4" s="785">
        <f>'D DRAW'!AN35+'C Draw'!AN36+'A DRAW'!AN37+'B DRAW'!AN37</f>
        <v>0</v>
      </c>
      <c r="AO4" s="785">
        <f>'D DRAW'!AO35+'C Draw'!AO36+'A DRAW'!AO37+'B DRAW'!AO37</f>
        <v>0</v>
      </c>
      <c r="AP4" s="785">
        <f>'D DRAW'!AP35+'C Draw'!AP36+'A DRAW'!AP37+'B DRAW'!AP37</f>
        <v>0</v>
      </c>
      <c r="AQ4" s="785">
        <f>'D DRAW'!AQ35+'C Draw'!AQ36+'A DRAW'!AQ37+'B DRAW'!AQ37</f>
        <v>0</v>
      </c>
      <c r="AR4" s="785">
        <f>'D DRAW'!AR35+'C Draw'!AR36+'A DRAW'!AR37+'B DRAW'!AR37</f>
        <v>0</v>
      </c>
      <c r="AS4" s="785">
        <f>'D DRAW'!AS35+'C Draw'!AS36+'A DRAW'!AS37+'B DRAW'!AS37</f>
        <v>0</v>
      </c>
      <c r="AT4" s="785">
        <f>'D DRAW'!BB35+'C Draw'!AT36+'A DRAW'!AT37</f>
        <v>0</v>
      </c>
      <c r="AU4" s="785">
        <f>'D DRAW'!BC35+'C Draw'!AU36+'A DRAW'!AU37</f>
        <v>0</v>
      </c>
      <c r="AV4" s="785">
        <f ca="1">SUM(C4:AU4)</f>
        <v>0</v>
      </c>
    </row>
    <row r="5" spans="1:48">
      <c r="A5" s="793" t="s">
        <v>422</v>
      </c>
      <c r="B5" s="932">
        <f ca="1">IF(B4&lt;0,0,IRR(C4:AU4))</f>
        <v>6.3666976045524848E-2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3"/>
      <c r="O5" s="823"/>
      <c r="P5" s="823"/>
      <c r="Q5" s="823"/>
      <c r="R5" s="823"/>
      <c r="S5" s="823"/>
      <c r="T5" s="823"/>
      <c r="U5" s="823"/>
      <c r="V5" s="823"/>
      <c r="W5" s="823"/>
      <c r="X5" s="823"/>
      <c r="Y5" s="823"/>
      <c r="Z5" s="823"/>
      <c r="AA5" s="823"/>
      <c r="AB5" s="823"/>
      <c r="AC5" s="823"/>
      <c r="AD5" s="823"/>
      <c r="AE5" s="823"/>
      <c r="AF5" s="823"/>
      <c r="AG5" s="823"/>
      <c r="AH5" s="823"/>
      <c r="AI5" s="823"/>
      <c r="AJ5" s="823"/>
      <c r="AK5" s="823"/>
      <c r="AL5" s="823"/>
      <c r="AM5" s="823"/>
      <c r="AN5" s="823"/>
      <c r="AO5" s="823"/>
      <c r="AP5" s="823"/>
      <c r="AQ5" s="823"/>
      <c r="AR5" s="823"/>
      <c r="AS5" s="823"/>
      <c r="AT5" s="823"/>
      <c r="AU5" s="823"/>
      <c r="AV5" s="824"/>
    </row>
    <row r="6" spans="1:48">
      <c r="A6" s="793" t="s">
        <v>371</v>
      </c>
      <c r="B6" s="934">
        <f ca="1">POWER((1+B5),4)-1</f>
        <v>0.28003753017987765</v>
      </c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  <c r="N6" s="815"/>
      <c r="O6" s="815"/>
      <c r="P6" s="815"/>
      <c r="Q6" s="815"/>
      <c r="R6" s="815"/>
      <c r="S6" s="815"/>
      <c r="T6" s="815"/>
      <c r="U6" s="815"/>
      <c r="V6" s="815"/>
      <c r="W6" s="815"/>
      <c r="X6" s="815"/>
      <c r="Y6" s="815"/>
      <c r="Z6" s="815"/>
      <c r="AA6" s="815"/>
      <c r="AB6" s="815"/>
      <c r="AC6" s="815"/>
      <c r="AD6" s="815"/>
      <c r="AE6" s="815"/>
      <c r="AF6" s="815"/>
      <c r="AG6" s="815"/>
      <c r="AH6" s="815"/>
      <c r="AI6" s="815"/>
      <c r="AJ6" s="815"/>
      <c r="AK6" s="815"/>
      <c r="AL6" s="815"/>
      <c r="AM6" s="815"/>
      <c r="AN6" s="815"/>
      <c r="AO6" s="815"/>
      <c r="AP6" s="815"/>
      <c r="AQ6" s="815"/>
      <c r="AR6" s="815"/>
      <c r="AS6" s="815"/>
      <c r="AT6" s="815"/>
      <c r="AU6" s="815"/>
      <c r="AV6" s="828"/>
    </row>
    <row r="7" spans="1:48">
      <c r="A7" s="815"/>
      <c r="B7" s="936"/>
      <c r="C7" s="815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15"/>
      <c r="R7" s="815"/>
      <c r="S7" s="815"/>
      <c r="T7" s="815"/>
      <c r="U7" s="815"/>
      <c r="V7" s="815"/>
      <c r="W7" s="815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  <c r="AI7" s="815"/>
      <c r="AJ7" s="815"/>
      <c r="AK7" s="815"/>
      <c r="AL7" s="815"/>
      <c r="AM7" s="815"/>
      <c r="AN7" s="815"/>
      <c r="AO7" s="815"/>
      <c r="AP7" s="815"/>
      <c r="AQ7" s="815"/>
      <c r="AR7" s="815"/>
      <c r="AS7" s="815"/>
      <c r="AT7" s="815"/>
      <c r="AU7" s="815"/>
      <c r="AV7" s="828"/>
    </row>
    <row r="8" spans="1:48">
      <c r="A8" s="793" t="s">
        <v>425</v>
      </c>
      <c r="B8" s="785">
        <f>SUM(C8:AU8)</f>
        <v>1117540.8164487481</v>
      </c>
      <c r="C8" s="785">
        <f>+'D DRAW'!C40+'C Draw'!C41+'A DRAW'!C42</f>
        <v>0</v>
      </c>
      <c r="D8" s="785">
        <f>+'D DRAW'!D40+'C Draw'!D41+'A DRAW'!D42</f>
        <v>0</v>
      </c>
      <c r="E8" s="785">
        <f>+'D DRAW'!E40+'C Draw'!E41+'A DRAW'!E42+'B DRAW'!E42</f>
        <v>-3713321.6249999995</v>
      </c>
      <c r="F8" s="785">
        <f>+'D DRAW'!F40+'C Draw'!F41+'A DRAW'!F42+'B DRAW'!F42</f>
        <v>-2894372.6149999998</v>
      </c>
      <c r="G8" s="785">
        <f>+'D DRAW'!G40+'C Draw'!G41+'A DRAW'!G42+'B DRAW'!G42</f>
        <v>-1155257.8049999999</v>
      </c>
      <c r="H8" s="785">
        <f>+'D DRAW'!H40+'C Draw'!H41+'A DRAW'!H42+'B DRAW'!H42</f>
        <v>-4810735.101311611</v>
      </c>
      <c r="I8" s="785">
        <f>+'D DRAW'!I40+'C Draw'!I41+'A DRAW'!I42+'B DRAW'!I42</f>
        <v>-4320389.3945603082</v>
      </c>
      <c r="J8" s="785">
        <f>+'D DRAW'!J40+'C Draw'!J41+'A DRAW'!J42+'B DRAW'!J42</f>
        <v>-6340836.1689830571</v>
      </c>
      <c r="K8" s="785">
        <f>+'D DRAW'!K40+'C Draw'!K41+'A DRAW'!K42+'B DRAW'!K42</f>
        <v>-25070404.135285214</v>
      </c>
      <c r="L8" s="785">
        <f>+'D DRAW'!L40+'C Draw'!L41+'A DRAW'!L42+'B DRAW'!L42</f>
        <v>-19995192.702391848</v>
      </c>
      <c r="M8" s="785">
        <f>+'D DRAW'!M40+'C Draw'!M41+'A DRAW'!M42+'B DRAW'!M42</f>
        <v>-18902701.320545692</v>
      </c>
      <c r="N8" s="785">
        <f>+'D DRAW'!N40+'C Draw'!N41+'A DRAW'!N42+'B DRAW'!N42</f>
        <v>-25037187.014545694</v>
      </c>
      <c r="O8" s="785">
        <f>+'D DRAW'!O40+'C Draw'!O41+'A DRAW'!O42+'B DRAW'!O42</f>
        <v>-34435055.271463983</v>
      </c>
      <c r="P8" s="785">
        <f>+'D DRAW'!P40+'C Draw'!P41+'A DRAW'!P42+'B DRAW'!P42</f>
        <v>-37284808.998645678</v>
      </c>
      <c r="Q8" s="785">
        <f>+'D DRAW'!Q40+'C Draw'!Q41+'A DRAW'!Q42+'B DRAW'!Q42</f>
        <v>-34137333.526193887</v>
      </c>
      <c r="R8" s="785">
        <f>+'D DRAW'!R40+'C Draw'!R41+'A DRAW'!R42+'B DRAW'!R42</f>
        <v>-38751855.761462346</v>
      </c>
      <c r="S8" s="785">
        <f>+'D DRAW'!S40+'C Draw'!S41+'A DRAW'!S42+'B DRAW'!S42</f>
        <v>-34481529.085855715</v>
      </c>
      <c r="T8" s="785">
        <f>+'D DRAW'!T40+'C Draw'!T41+'A DRAW'!T42+'B DRAW'!T42</f>
        <v>-36576328.876389727</v>
      </c>
      <c r="U8" s="785">
        <f>+'D DRAW'!U40+'C Draw'!U41+'A DRAW'!U42+'B DRAW'!U42</f>
        <v>-32132556.84382825</v>
      </c>
      <c r="V8" s="785">
        <f>+'D DRAW'!V40+'C Draw'!V41+'A DRAW'!V42+'B DRAW'!V42</f>
        <v>26392941.404854394</v>
      </c>
      <c r="W8" s="785">
        <f>+'D DRAW'!W40+'C Draw'!W41+'A DRAW'!W42+'B DRAW'!W42</f>
        <v>-12490736.681168512</v>
      </c>
      <c r="X8" s="785">
        <f>+'D DRAW'!X40+'C Draw'!X41+'A DRAW'!X42+'B DRAW'!X42</f>
        <v>214629476.76531041</v>
      </c>
      <c r="Y8" s="785">
        <f>+'D DRAW'!Y40+'C Draw'!Y41+'A DRAW'!Y42+'B DRAW'!Y42</f>
        <v>-2072854.4260845073</v>
      </c>
      <c r="Z8" s="785">
        <f>+'D DRAW'!Z40+'C Draw'!Z41+'A DRAW'!Z42+'B DRAW'!Z42</f>
        <v>-1262160</v>
      </c>
      <c r="AA8" s="785">
        <f>+'D DRAW'!AA40+'C Draw'!AA41+'A DRAW'!AA42+'B DRAW'!AA42</f>
        <v>135960740</v>
      </c>
      <c r="AB8" s="785">
        <f>+'D DRAW'!AB40+'C Draw'!AB41+'A DRAW'!AB42+'B DRAW'!AB42</f>
        <v>0</v>
      </c>
      <c r="AC8" s="785">
        <f>+'D DRAW'!AC40+'C Draw'!AC41+'A DRAW'!AC42+'B DRAW'!AC42</f>
        <v>0</v>
      </c>
      <c r="AD8" s="785">
        <f>+'D DRAW'!AD40+'C Draw'!AD41+'A DRAW'!AD42+'B DRAW'!AD42</f>
        <v>0</v>
      </c>
      <c r="AE8" s="785">
        <f>+'D DRAW'!AE40+'C Draw'!AE41+'A DRAW'!AE42+'B DRAW'!AE42</f>
        <v>0</v>
      </c>
      <c r="AF8" s="785">
        <f>+'D DRAW'!AF40+'C Draw'!AF41+'A DRAW'!AF42+'B DRAW'!AF42</f>
        <v>0</v>
      </c>
      <c r="AG8" s="785">
        <f>+'D DRAW'!AG40+'C Draw'!AG41+'A DRAW'!AG42+'B DRAW'!AG42</f>
        <v>0</v>
      </c>
      <c r="AH8" s="785">
        <f>+'D DRAW'!AH40+'C Draw'!AH41+'A DRAW'!AH42+'B DRAW'!AH42</f>
        <v>0</v>
      </c>
      <c r="AI8" s="785">
        <f>+'D DRAW'!AI40+'C Draw'!AI41+'A DRAW'!AI42+'B DRAW'!AI42</f>
        <v>0</v>
      </c>
      <c r="AJ8" s="785">
        <f>+'D DRAW'!AJ40+'C Draw'!AJ41+'A DRAW'!AJ42+'B DRAW'!AJ42</f>
        <v>0</v>
      </c>
      <c r="AK8" s="785">
        <f>+'D DRAW'!AK40+'C Draw'!AK41+'A DRAW'!AK42+'B DRAW'!AK42</f>
        <v>0</v>
      </c>
      <c r="AL8" s="785">
        <f>+'D DRAW'!AL40+'C Draw'!AL41+'A DRAW'!AL42+'B DRAW'!AL42</f>
        <v>0</v>
      </c>
      <c r="AM8" s="785">
        <f>+'D DRAW'!AU40+'C Draw'!AM41+'A DRAW'!AM42</f>
        <v>0</v>
      </c>
      <c r="AN8" s="785">
        <f>+'D DRAW'!AV40+'C Draw'!AN41+'A DRAW'!AN42</f>
        <v>0</v>
      </c>
      <c r="AO8" s="785">
        <f>+'D DRAW'!AW40+'C Draw'!AO41+'A DRAW'!AO42</f>
        <v>0</v>
      </c>
      <c r="AP8" s="785">
        <f>+'D DRAW'!AX40+'C Draw'!AP41+'A DRAW'!AP42</f>
        <v>0</v>
      </c>
      <c r="AQ8" s="785">
        <f>+'D DRAW'!AY40+'C Draw'!AQ41+'A DRAW'!AQ42</f>
        <v>0</v>
      </c>
      <c r="AR8" s="785">
        <f>+'D DRAW'!AZ40+'C Draw'!AR41+'A DRAW'!AR42</f>
        <v>0</v>
      </c>
      <c r="AS8" s="785">
        <f>+'D DRAW'!BA40+'C Draw'!AS41+'A DRAW'!AS42</f>
        <v>0</v>
      </c>
      <c r="AT8" s="785">
        <f>+'D DRAW'!BB40+'C Draw'!AT41+'A DRAW'!AT42</f>
        <v>0</v>
      </c>
      <c r="AU8" s="785">
        <f>+'D DRAW'!BC40+'C Draw'!AU41+'A DRAW'!AU42</f>
        <v>0</v>
      </c>
      <c r="AV8" s="785">
        <f>SUM(C8:AU8)</f>
        <v>1117540.8164487481</v>
      </c>
    </row>
    <row r="9" spans="1:48">
      <c r="A9" s="793" t="s">
        <v>426</v>
      </c>
      <c r="B9" s="932">
        <f>IF(B8&lt;0,0,IRR(C8:AU8))</f>
        <v>3.4293222282588687E-4</v>
      </c>
      <c r="C9" s="808"/>
      <c r="D9" s="815"/>
      <c r="E9" s="815"/>
      <c r="F9" s="815"/>
      <c r="G9" s="815"/>
      <c r="H9" s="815"/>
      <c r="I9" s="815"/>
      <c r="J9" s="815"/>
      <c r="K9" s="815"/>
      <c r="L9" s="815"/>
      <c r="M9" s="808"/>
      <c r="N9" s="815"/>
      <c r="O9" s="815"/>
      <c r="P9" s="815"/>
      <c r="Q9" s="815"/>
      <c r="R9" s="815"/>
      <c r="S9" s="808"/>
      <c r="T9" s="815"/>
      <c r="U9" s="815"/>
      <c r="V9" s="815"/>
      <c r="W9" s="815"/>
      <c r="X9" s="815"/>
      <c r="Y9" s="815"/>
      <c r="Z9" s="815"/>
      <c r="AA9" s="815"/>
      <c r="AB9" s="815"/>
      <c r="AC9" s="815"/>
      <c r="AD9" s="815"/>
      <c r="AE9" s="815"/>
      <c r="AF9" s="815"/>
      <c r="AG9" s="815"/>
      <c r="AH9" s="815"/>
      <c r="AI9" s="815"/>
      <c r="AJ9" s="815"/>
      <c r="AK9" s="815"/>
      <c r="AL9" s="815"/>
      <c r="AM9" s="815"/>
      <c r="AN9" s="815"/>
      <c r="AO9" s="815"/>
      <c r="AP9" s="815"/>
      <c r="AQ9" s="815"/>
      <c r="AR9" s="815"/>
      <c r="AS9" s="815"/>
      <c r="AT9" s="815"/>
      <c r="AU9" s="815"/>
      <c r="AV9" s="793"/>
    </row>
    <row r="10" spans="1:48">
      <c r="A10" s="793" t="s">
        <v>376</v>
      </c>
      <c r="B10" s="934">
        <f>POWER((1+B9),4)-1</f>
        <v>1.3724346676928789E-3</v>
      </c>
      <c r="C10" s="815"/>
      <c r="D10" s="815"/>
      <c r="E10" s="815"/>
      <c r="F10" s="815"/>
      <c r="G10" s="815"/>
      <c r="H10" s="815"/>
      <c r="I10" s="815"/>
      <c r="J10" s="815"/>
      <c r="K10" s="815"/>
      <c r="L10" s="815"/>
      <c r="M10" s="808"/>
      <c r="N10" s="815"/>
      <c r="O10" s="815"/>
      <c r="P10" s="815"/>
      <c r="Q10" s="815"/>
      <c r="R10" s="815"/>
      <c r="S10" s="808"/>
      <c r="T10" s="815"/>
      <c r="U10" s="815"/>
      <c r="V10" s="815"/>
      <c r="W10" s="815"/>
      <c r="X10" s="815"/>
      <c r="Y10" s="815"/>
      <c r="Z10" s="815"/>
      <c r="AA10" s="815"/>
      <c r="AB10" s="815"/>
      <c r="AC10" s="815"/>
      <c r="AD10" s="815"/>
      <c r="AE10" s="815"/>
      <c r="AF10" s="815"/>
      <c r="AG10" s="815"/>
      <c r="AH10" s="815"/>
      <c r="AI10" s="815"/>
      <c r="AJ10" s="815"/>
      <c r="AK10" s="815"/>
      <c r="AL10" s="815"/>
      <c r="AM10" s="815"/>
      <c r="AN10" s="815"/>
      <c r="AO10" s="815"/>
      <c r="AP10" s="815"/>
      <c r="AQ10" s="815"/>
      <c r="AR10" s="815"/>
      <c r="AS10" s="815"/>
      <c r="AT10" s="815"/>
      <c r="AU10" s="815"/>
      <c r="AV10" s="793"/>
    </row>
    <row r="11" spans="1:48">
      <c r="G11" s="18"/>
      <c r="AB11" s="18"/>
      <c r="AE11" s="18"/>
      <c r="AI11" s="18"/>
    </row>
    <row r="12" spans="1:48">
      <c r="G12" s="18"/>
      <c r="AB12" s="18"/>
      <c r="AE12" s="18"/>
      <c r="AI12" s="18"/>
    </row>
    <row r="13" spans="1:48">
      <c r="G13" s="18"/>
      <c r="AB13" s="18"/>
      <c r="AE13" s="18"/>
      <c r="AI13" s="18"/>
    </row>
    <row r="14" spans="1:48">
      <c r="G14" s="18"/>
      <c r="AB14" s="18"/>
      <c r="AE14" s="18"/>
      <c r="AI14" s="18"/>
    </row>
    <row r="15" spans="1:48">
      <c r="G15" s="18"/>
      <c r="AB15" s="18"/>
      <c r="AE15" s="18"/>
      <c r="AI15" s="18"/>
    </row>
    <row r="16" spans="1:48">
      <c r="G16" s="18"/>
      <c r="AB16" s="18"/>
      <c r="AE16" s="18"/>
      <c r="AI16" s="18"/>
    </row>
    <row r="17" spans="7:36">
      <c r="G17" s="18"/>
      <c r="AA17"/>
      <c r="AB17"/>
      <c r="AC17"/>
      <c r="AD17"/>
      <c r="AE17"/>
      <c r="AF17"/>
      <c r="AI17" s="18"/>
    </row>
    <row r="18" spans="7:36">
      <c r="G18" s="18"/>
      <c r="AA18"/>
      <c r="AB18"/>
      <c r="AC18"/>
      <c r="AD18"/>
      <c r="AE18"/>
      <c r="AF18"/>
      <c r="AI18" s="18"/>
    </row>
    <row r="19" spans="7:36">
      <c r="G19" s="18"/>
      <c r="AA19"/>
      <c r="AB19"/>
      <c r="AC19"/>
      <c r="AD19"/>
      <c r="AE19"/>
      <c r="AF19"/>
      <c r="AH19"/>
      <c r="AI19"/>
      <c r="AJ19"/>
    </row>
    <row r="20" spans="7:36">
      <c r="G20" s="18"/>
      <c r="AA20"/>
      <c r="AB20"/>
      <c r="AC20"/>
      <c r="AD20"/>
      <c r="AE20"/>
      <c r="AF20"/>
      <c r="AH20"/>
      <c r="AI20"/>
      <c r="AJ20"/>
    </row>
    <row r="21" spans="7:36">
      <c r="G21" s="18"/>
      <c r="AA21"/>
      <c r="AB21"/>
      <c r="AC21"/>
      <c r="AD21"/>
      <c r="AE21"/>
      <c r="AF21"/>
      <c r="AH21"/>
      <c r="AI21"/>
      <c r="AJ21"/>
    </row>
    <row r="22" spans="7:36">
      <c r="G22" s="18"/>
      <c r="AA22"/>
      <c r="AB22"/>
      <c r="AC22"/>
      <c r="AD22"/>
      <c r="AE22"/>
      <c r="AF22"/>
      <c r="AH22"/>
      <c r="AI22"/>
      <c r="AJ22"/>
    </row>
    <row r="23" spans="7:36">
      <c r="G23" s="18"/>
      <c r="AA23"/>
      <c r="AB23"/>
      <c r="AC23"/>
      <c r="AD23"/>
      <c r="AE23"/>
      <c r="AF23"/>
      <c r="AH23"/>
      <c r="AI23"/>
      <c r="AJ23"/>
    </row>
    <row r="24" spans="7:36">
      <c r="G24" s="18"/>
      <c r="AA24"/>
      <c r="AB24"/>
      <c r="AC24"/>
      <c r="AD24"/>
      <c r="AE24"/>
      <c r="AF24"/>
      <c r="AH24"/>
      <c r="AI24"/>
      <c r="AJ24"/>
    </row>
    <row r="25" spans="7:36">
      <c r="G25" s="18"/>
      <c r="AA25"/>
      <c r="AB25"/>
      <c r="AC25"/>
      <c r="AD25"/>
      <c r="AE25"/>
      <c r="AF25"/>
      <c r="AH25"/>
      <c r="AI25"/>
      <c r="AJ25"/>
    </row>
    <row r="26" spans="7:36">
      <c r="G26" s="18"/>
      <c r="AA26"/>
      <c r="AB26"/>
      <c r="AC26"/>
      <c r="AD26"/>
      <c r="AE26"/>
      <c r="AF26"/>
      <c r="AH26"/>
      <c r="AI26"/>
      <c r="AJ26"/>
    </row>
    <row r="27" spans="7:36">
      <c r="G27" s="18"/>
      <c r="AA27"/>
      <c r="AB27"/>
      <c r="AC27"/>
      <c r="AD27"/>
      <c r="AE27"/>
      <c r="AF27"/>
      <c r="AH27"/>
      <c r="AI27"/>
      <c r="AJ27"/>
    </row>
    <row r="28" spans="7:36">
      <c r="G28" s="18"/>
      <c r="AA28"/>
      <c r="AB28"/>
      <c r="AC28"/>
      <c r="AD28"/>
      <c r="AE28"/>
      <c r="AF28"/>
      <c r="AH28"/>
      <c r="AI28"/>
      <c r="AJ28"/>
    </row>
    <row r="29" spans="7:36">
      <c r="G29" s="18"/>
      <c r="AA29"/>
      <c r="AB29"/>
      <c r="AC29"/>
      <c r="AD29"/>
      <c r="AE29"/>
      <c r="AF29"/>
      <c r="AH29"/>
      <c r="AI29"/>
      <c r="AJ29"/>
    </row>
    <row r="30" spans="7:36">
      <c r="G30" s="18"/>
      <c r="AA30"/>
      <c r="AB30"/>
      <c r="AC30"/>
      <c r="AD30"/>
      <c r="AE30"/>
      <c r="AF30"/>
      <c r="AH30"/>
      <c r="AI30"/>
      <c r="AJ30"/>
    </row>
    <row r="31" spans="7:36">
      <c r="G31" s="18"/>
      <c r="AA31"/>
      <c r="AB31"/>
      <c r="AC31"/>
      <c r="AD31"/>
      <c r="AE31"/>
      <c r="AF31"/>
      <c r="AH31"/>
      <c r="AI31"/>
      <c r="AJ31"/>
    </row>
    <row r="32" spans="7:36">
      <c r="G32" s="18"/>
      <c r="AA32"/>
      <c r="AB32"/>
      <c r="AC32"/>
      <c r="AD32"/>
      <c r="AE32"/>
      <c r="AF32"/>
      <c r="AH32"/>
      <c r="AI32"/>
      <c r="AJ32"/>
    </row>
    <row r="33" spans="7:36">
      <c r="G33" s="18"/>
      <c r="AA33"/>
      <c r="AB33"/>
      <c r="AC33"/>
      <c r="AD33"/>
      <c r="AE33"/>
      <c r="AF33"/>
      <c r="AH33"/>
      <c r="AI33"/>
      <c r="AJ33"/>
    </row>
    <row r="34" spans="7:36">
      <c r="G34" s="18"/>
      <c r="AA34"/>
      <c r="AB34"/>
      <c r="AC34"/>
      <c r="AD34"/>
      <c r="AE34"/>
      <c r="AF34"/>
      <c r="AH34"/>
      <c r="AI34"/>
      <c r="AJ34"/>
    </row>
    <row r="35" spans="7:36">
      <c r="G35" s="18"/>
      <c r="AA35"/>
      <c r="AB35"/>
      <c r="AC35"/>
      <c r="AD35"/>
      <c r="AE35"/>
      <c r="AF35"/>
      <c r="AH35"/>
      <c r="AI35"/>
      <c r="AJ35"/>
    </row>
    <row r="36" spans="7:36">
      <c r="G36" s="18"/>
      <c r="AA36"/>
      <c r="AB36"/>
      <c r="AC36"/>
      <c r="AD36"/>
      <c r="AE36"/>
      <c r="AF36"/>
      <c r="AH36"/>
      <c r="AI36"/>
      <c r="AJ36"/>
    </row>
    <row r="37" spans="7:36">
      <c r="G37" s="18"/>
      <c r="AA37"/>
      <c r="AB37"/>
      <c r="AC37"/>
      <c r="AD37"/>
      <c r="AE37"/>
      <c r="AF37"/>
      <c r="AH37"/>
      <c r="AI37"/>
      <c r="AJ37"/>
    </row>
    <row r="38" spans="7:36">
      <c r="G38" s="18"/>
      <c r="AA38"/>
      <c r="AB38"/>
      <c r="AC38"/>
      <c r="AD38"/>
      <c r="AE38"/>
      <c r="AF38"/>
      <c r="AH38"/>
      <c r="AI38"/>
      <c r="AJ38"/>
    </row>
    <row r="39" spans="7:36">
      <c r="G39" s="18"/>
      <c r="AA39"/>
      <c r="AB39"/>
      <c r="AC39"/>
      <c r="AD39"/>
      <c r="AE39"/>
      <c r="AF39"/>
      <c r="AH39"/>
      <c r="AI39"/>
      <c r="AJ39"/>
    </row>
    <row r="40" spans="7:36">
      <c r="G40" s="18"/>
      <c r="AA40"/>
      <c r="AB40"/>
      <c r="AC40"/>
      <c r="AD40"/>
      <c r="AE40"/>
      <c r="AF40"/>
      <c r="AH40"/>
      <c r="AI40"/>
      <c r="AJ40"/>
    </row>
    <row r="41" spans="7:36">
      <c r="G41" s="18"/>
      <c r="AA41"/>
      <c r="AB41"/>
      <c r="AC41"/>
      <c r="AD41"/>
      <c r="AE41"/>
      <c r="AF41"/>
      <c r="AH41"/>
      <c r="AI41"/>
      <c r="AJ41"/>
    </row>
    <row r="42" spans="7:36">
      <c r="G42" s="18"/>
      <c r="AA42"/>
      <c r="AB42"/>
      <c r="AC42"/>
      <c r="AD42"/>
      <c r="AE42"/>
      <c r="AF42"/>
      <c r="AH42"/>
      <c r="AI42"/>
      <c r="AJ42"/>
    </row>
    <row r="43" spans="7:36">
      <c r="G43" s="18"/>
      <c r="AA43"/>
      <c r="AB43"/>
      <c r="AC43"/>
      <c r="AD43"/>
      <c r="AE43"/>
      <c r="AF43"/>
      <c r="AH43"/>
      <c r="AI43"/>
      <c r="AJ43"/>
    </row>
    <row r="44" spans="7:36">
      <c r="G44" s="18"/>
      <c r="AA44"/>
      <c r="AB44"/>
      <c r="AC44"/>
      <c r="AD44"/>
      <c r="AE44"/>
      <c r="AF44"/>
      <c r="AH44"/>
      <c r="AI44"/>
      <c r="AJ44"/>
    </row>
    <row r="45" spans="7:36">
      <c r="G45" s="18"/>
      <c r="AA45"/>
      <c r="AB45"/>
      <c r="AC45"/>
      <c r="AD45"/>
      <c r="AE45"/>
      <c r="AF45"/>
      <c r="AH45"/>
      <c r="AI45"/>
      <c r="AJ45"/>
    </row>
    <row r="46" spans="7:36">
      <c r="G46" s="18"/>
      <c r="AA46"/>
      <c r="AB46"/>
      <c r="AC46"/>
      <c r="AD46"/>
      <c r="AE46"/>
      <c r="AF46"/>
      <c r="AH46"/>
      <c r="AI46"/>
      <c r="AJ46"/>
    </row>
    <row r="47" spans="7:36">
      <c r="G47" s="18"/>
      <c r="AA47"/>
      <c r="AB47"/>
      <c r="AC47"/>
      <c r="AD47"/>
      <c r="AE47"/>
      <c r="AF47"/>
      <c r="AH47"/>
      <c r="AI47"/>
      <c r="AJ47"/>
    </row>
    <row r="48" spans="7:36">
      <c r="G48" s="18"/>
      <c r="AA48"/>
      <c r="AB48"/>
      <c r="AC48"/>
      <c r="AD48"/>
      <c r="AE48"/>
      <c r="AF48"/>
      <c r="AH48"/>
      <c r="AI48"/>
      <c r="AJ48"/>
    </row>
    <row r="49" spans="7:32">
      <c r="G49" s="18"/>
      <c r="AA49"/>
      <c r="AB49"/>
      <c r="AC49"/>
      <c r="AD49"/>
      <c r="AE49"/>
      <c r="AF49"/>
    </row>
    <row r="50" spans="7:32">
      <c r="G50" s="18"/>
      <c r="AA50"/>
      <c r="AB50"/>
      <c r="AC50"/>
      <c r="AD50"/>
      <c r="AE50"/>
      <c r="AF50"/>
    </row>
    <row r="51" spans="7:32">
      <c r="G51" s="18"/>
      <c r="AA51"/>
      <c r="AB51"/>
      <c r="AC51"/>
      <c r="AD51"/>
      <c r="AE51"/>
      <c r="AF51"/>
    </row>
    <row r="52" spans="7:32">
      <c r="G52" s="18"/>
      <c r="AA52"/>
      <c r="AB52"/>
      <c r="AC52"/>
      <c r="AD52"/>
      <c r="AE52"/>
      <c r="AF52"/>
    </row>
    <row r="53" spans="7:32">
      <c r="G53" s="18"/>
      <c r="AA53"/>
      <c r="AB53"/>
      <c r="AC53"/>
      <c r="AD53"/>
      <c r="AE53"/>
      <c r="AF53"/>
    </row>
    <row r="54" spans="7:32">
      <c r="G54" s="18"/>
      <c r="AA54"/>
      <c r="AB54"/>
      <c r="AC54"/>
      <c r="AD54"/>
      <c r="AE54"/>
      <c r="AF54"/>
    </row>
    <row r="55" spans="7:32">
      <c r="G55" s="18"/>
      <c r="AA55"/>
      <c r="AB55"/>
      <c r="AC55"/>
      <c r="AD55"/>
      <c r="AE55"/>
      <c r="AF55"/>
    </row>
    <row r="56" spans="7:32">
      <c r="G56" s="18"/>
      <c r="AA56"/>
      <c r="AB56"/>
      <c r="AC56"/>
      <c r="AD56"/>
      <c r="AE56"/>
      <c r="AF56"/>
    </row>
    <row r="57" spans="7:32">
      <c r="G57" s="18"/>
      <c r="AA57"/>
      <c r="AB57"/>
      <c r="AC57"/>
      <c r="AD57"/>
      <c r="AE57"/>
      <c r="AF57"/>
    </row>
    <row r="58" spans="7:32">
      <c r="G58" s="18"/>
      <c r="AA58"/>
      <c r="AB58"/>
      <c r="AC58"/>
      <c r="AD58"/>
      <c r="AE58"/>
      <c r="AF58"/>
    </row>
    <row r="59" spans="7:32">
      <c r="G59" s="18"/>
      <c r="AA59"/>
      <c r="AB59"/>
      <c r="AC59"/>
      <c r="AD59"/>
      <c r="AE59"/>
      <c r="AF59"/>
    </row>
    <row r="60" spans="7:32">
      <c r="G60" s="18"/>
      <c r="AA60"/>
      <c r="AB60"/>
      <c r="AC60"/>
      <c r="AD60"/>
      <c r="AE60"/>
      <c r="AF60"/>
    </row>
    <row r="61" spans="7:32">
      <c r="G61" s="18"/>
      <c r="AA61"/>
      <c r="AB61"/>
      <c r="AC61"/>
      <c r="AD61"/>
      <c r="AE61"/>
      <c r="AF61"/>
    </row>
    <row r="62" spans="7:32">
      <c r="G62" s="18"/>
      <c r="AA62"/>
      <c r="AB62"/>
      <c r="AC62"/>
      <c r="AD62"/>
      <c r="AE62"/>
      <c r="AF62"/>
    </row>
    <row r="63" spans="7:32">
      <c r="G63" s="18"/>
      <c r="AA63"/>
      <c r="AB63"/>
      <c r="AC63"/>
      <c r="AD63"/>
      <c r="AE63"/>
      <c r="AF63"/>
    </row>
    <row r="64" spans="7:32">
      <c r="G64" s="18"/>
      <c r="AA64"/>
      <c r="AB64"/>
      <c r="AC64"/>
      <c r="AD64"/>
      <c r="AE64"/>
      <c r="AF64"/>
    </row>
    <row r="65" spans="7:32">
      <c r="G65" s="18"/>
      <c r="AA65"/>
      <c r="AB65"/>
      <c r="AC65"/>
      <c r="AD65"/>
      <c r="AE65"/>
      <c r="AF65"/>
    </row>
    <row r="66" spans="7:32">
      <c r="G66" s="18"/>
      <c r="AA66"/>
      <c r="AB66"/>
      <c r="AC66"/>
      <c r="AD66"/>
      <c r="AE66"/>
      <c r="AF66"/>
    </row>
    <row r="67" spans="7:32">
      <c r="G67" s="18"/>
      <c r="AA67"/>
      <c r="AB67"/>
      <c r="AC67"/>
      <c r="AD67"/>
      <c r="AE67"/>
      <c r="AF67"/>
    </row>
    <row r="68" spans="7:32">
      <c r="G68" s="18"/>
      <c r="AA68"/>
      <c r="AB68"/>
      <c r="AC68"/>
      <c r="AD68"/>
      <c r="AE68"/>
      <c r="AF68"/>
    </row>
    <row r="69" spans="7:32">
      <c r="G69" s="18"/>
      <c r="AA69"/>
      <c r="AB69"/>
      <c r="AC69"/>
      <c r="AD69"/>
      <c r="AE69"/>
      <c r="AF69"/>
    </row>
    <row r="70" spans="7:32">
      <c r="G70" s="18"/>
      <c r="AA70"/>
      <c r="AB70"/>
      <c r="AC70"/>
      <c r="AD70"/>
      <c r="AE70"/>
      <c r="AF70"/>
    </row>
    <row r="71" spans="7:32">
      <c r="G71" s="18"/>
      <c r="AA71"/>
      <c r="AB71"/>
      <c r="AC71"/>
      <c r="AD71"/>
      <c r="AE71"/>
      <c r="AF71"/>
    </row>
    <row r="72" spans="7:32">
      <c r="G72" s="18"/>
      <c r="AA72"/>
      <c r="AB72"/>
      <c r="AC72"/>
      <c r="AD72"/>
      <c r="AE72"/>
      <c r="AF72"/>
    </row>
    <row r="73" spans="7:32">
      <c r="G73" s="18"/>
      <c r="AA73"/>
      <c r="AB73"/>
      <c r="AC73"/>
      <c r="AD73"/>
      <c r="AE73"/>
      <c r="AF73"/>
    </row>
    <row r="74" spans="7:32">
      <c r="G74" s="18"/>
      <c r="AA74"/>
      <c r="AB74"/>
      <c r="AC74"/>
      <c r="AD74"/>
      <c r="AE74"/>
      <c r="AF74"/>
    </row>
    <row r="75" spans="7:32">
      <c r="G75" s="18"/>
      <c r="AA75"/>
      <c r="AB75"/>
      <c r="AC75"/>
      <c r="AD75"/>
      <c r="AE75"/>
      <c r="AF75"/>
    </row>
    <row r="76" spans="7:32">
      <c r="G76" s="18"/>
      <c r="AA76"/>
      <c r="AB76"/>
      <c r="AC76"/>
      <c r="AD76"/>
      <c r="AE76"/>
      <c r="AF76"/>
    </row>
    <row r="77" spans="7:32">
      <c r="G77" s="18"/>
      <c r="AA77"/>
      <c r="AB77"/>
      <c r="AC77"/>
      <c r="AD77"/>
      <c r="AE77"/>
      <c r="AF77"/>
    </row>
    <row r="78" spans="7:32">
      <c r="G78" s="18"/>
      <c r="AA78"/>
      <c r="AB78"/>
      <c r="AC78"/>
      <c r="AD78"/>
      <c r="AE78"/>
      <c r="AF78"/>
    </row>
    <row r="79" spans="7:32">
      <c r="G79" s="18"/>
      <c r="AA79"/>
      <c r="AB79"/>
      <c r="AC79"/>
      <c r="AD79"/>
      <c r="AE79"/>
      <c r="AF79"/>
    </row>
    <row r="80" spans="7:32">
      <c r="G80" s="18"/>
      <c r="AA80"/>
      <c r="AB80"/>
      <c r="AC80"/>
      <c r="AD80"/>
      <c r="AE80"/>
      <c r="AF80"/>
    </row>
    <row r="81" spans="7:32">
      <c r="G81" s="18"/>
      <c r="AA81"/>
      <c r="AB81"/>
      <c r="AC81"/>
      <c r="AD81"/>
      <c r="AE81"/>
      <c r="AF81"/>
    </row>
    <row r="82" spans="7:32">
      <c r="G82" s="18"/>
      <c r="AA82"/>
      <c r="AB82"/>
      <c r="AC82"/>
      <c r="AD82"/>
      <c r="AE82"/>
      <c r="AF82"/>
    </row>
    <row r="83" spans="7:32">
      <c r="G83" s="18"/>
      <c r="AA83"/>
      <c r="AB83"/>
      <c r="AC83"/>
      <c r="AD83"/>
      <c r="AE83"/>
      <c r="AF83"/>
    </row>
    <row r="84" spans="7:32">
      <c r="G84" s="18"/>
      <c r="AA84"/>
      <c r="AB84"/>
      <c r="AC84"/>
      <c r="AD84"/>
      <c r="AE84"/>
      <c r="AF84"/>
    </row>
    <row r="85" spans="7:32">
      <c r="G85" s="18"/>
      <c r="AA85"/>
      <c r="AB85"/>
      <c r="AC85"/>
      <c r="AD85"/>
      <c r="AE85"/>
      <c r="AF85"/>
    </row>
    <row r="86" spans="7:32">
      <c r="G86" s="18"/>
      <c r="AA86"/>
      <c r="AB86"/>
      <c r="AC86"/>
      <c r="AD86"/>
      <c r="AE86"/>
      <c r="AF86"/>
    </row>
    <row r="87" spans="7:32">
      <c r="G87" s="18"/>
      <c r="AA87"/>
      <c r="AB87"/>
      <c r="AC87"/>
      <c r="AD87"/>
      <c r="AE87"/>
      <c r="AF87"/>
    </row>
    <row r="88" spans="7:32">
      <c r="G88" s="18"/>
      <c r="AA88"/>
      <c r="AB88"/>
      <c r="AC88"/>
      <c r="AD88"/>
      <c r="AE88"/>
      <c r="AF88"/>
    </row>
    <row r="89" spans="7:32">
      <c r="G89" s="18"/>
      <c r="AA89"/>
      <c r="AB89"/>
      <c r="AC89"/>
      <c r="AD89"/>
      <c r="AE89"/>
      <c r="AF89"/>
    </row>
    <row r="90" spans="7:32">
      <c r="G90" s="18"/>
      <c r="AA90"/>
      <c r="AB90"/>
      <c r="AC90"/>
      <c r="AD90"/>
      <c r="AE90"/>
      <c r="AF90"/>
    </row>
    <row r="91" spans="7:32">
      <c r="G91" s="18"/>
      <c r="AA91"/>
      <c r="AB91"/>
      <c r="AC91"/>
      <c r="AD91"/>
      <c r="AE91"/>
      <c r="AF91"/>
    </row>
    <row r="92" spans="7:32">
      <c r="G92" s="18"/>
      <c r="AA92"/>
      <c r="AB92"/>
      <c r="AC92"/>
      <c r="AD92"/>
      <c r="AE92"/>
      <c r="AF92"/>
    </row>
    <row r="93" spans="7:32">
      <c r="G93" s="18"/>
      <c r="AA93"/>
      <c r="AB93"/>
      <c r="AC93"/>
      <c r="AD93"/>
      <c r="AE93"/>
      <c r="AF93"/>
    </row>
    <row r="94" spans="7:32">
      <c r="G94" s="18"/>
      <c r="AA94"/>
      <c r="AB94"/>
      <c r="AC94"/>
      <c r="AD94"/>
      <c r="AE94"/>
      <c r="AF94"/>
    </row>
    <row r="95" spans="7:32">
      <c r="G95" s="18"/>
      <c r="AA95"/>
      <c r="AB95"/>
      <c r="AC95"/>
      <c r="AD95"/>
      <c r="AE95"/>
      <c r="AF95"/>
    </row>
    <row r="96" spans="7:32">
      <c r="G96" s="18"/>
      <c r="AA96"/>
      <c r="AB96"/>
      <c r="AC96"/>
      <c r="AD96"/>
      <c r="AE96"/>
      <c r="AF96"/>
    </row>
    <row r="97" spans="7:32">
      <c r="G97" s="18"/>
      <c r="AA97"/>
      <c r="AB97"/>
      <c r="AC97"/>
      <c r="AD97"/>
      <c r="AE97"/>
      <c r="AF97"/>
    </row>
    <row r="98" spans="7:32">
      <c r="G98" s="18"/>
      <c r="AA98"/>
      <c r="AB98"/>
      <c r="AC98"/>
      <c r="AD98"/>
      <c r="AE98"/>
      <c r="AF98"/>
    </row>
    <row r="99" spans="7:32">
      <c r="G99" s="18"/>
      <c r="AA99"/>
      <c r="AB99"/>
      <c r="AC99"/>
      <c r="AD99"/>
      <c r="AE99"/>
      <c r="AF99"/>
    </row>
    <row r="100" spans="7:32">
      <c r="G100" s="18"/>
      <c r="AA100"/>
      <c r="AB100"/>
      <c r="AC100"/>
      <c r="AD100"/>
      <c r="AE100"/>
      <c r="AF100"/>
    </row>
    <row r="101" spans="7:32">
      <c r="G101" s="18"/>
      <c r="AA101"/>
      <c r="AB101"/>
      <c r="AC101"/>
      <c r="AD101"/>
      <c r="AE101"/>
      <c r="AF101"/>
    </row>
    <row r="102" spans="7:32">
      <c r="G102" s="18"/>
      <c r="AA102"/>
      <c r="AB102"/>
      <c r="AC102"/>
      <c r="AD102"/>
      <c r="AE102"/>
      <c r="AF102"/>
    </row>
    <row r="103" spans="7:32">
      <c r="G103" s="18"/>
      <c r="AA103"/>
      <c r="AB103"/>
      <c r="AC103"/>
      <c r="AD103"/>
      <c r="AE103"/>
      <c r="AF103"/>
    </row>
    <row r="104" spans="7:32">
      <c r="G104" s="18"/>
      <c r="AA104"/>
      <c r="AB104"/>
      <c r="AC104"/>
      <c r="AD104"/>
      <c r="AE104"/>
      <c r="AF104"/>
    </row>
    <row r="105" spans="7:32">
      <c r="G105" s="18"/>
      <c r="AA105"/>
      <c r="AB105"/>
      <c r="AC105"/>
      <c r="AD105"/>
      <c r="AE105"/>
      <c r="AF105"/>
    </row>
    <row r="106" spans="7:32">
      <c r="G106" s="18"/>
      <c r="AA106"/>
      <c r="AB106"/>
      <c r="AC106"/>
      <c r="AD106"/>
      <c r="AE106"/>
      <c r="AF106"/>
    </row>
    <row r="107" spans="7:32">
      <c r="G107" s="18"/>
      <c r="AA107"/>
      <c r="AB107"/>
      <c r="AC107"/>
      <c r="AD107"/>
      <c r="AE107"/>
      <c r="AF107"/>
    </row>
    <row r="108" spans="7:32">
      <c r="G108" s="18"/>
      <c r="AA108"/>
      <c r="AB108"/>
      <c r="AC108"/>
      <c r="AD108"/>
      <c r="AE108"/>
      <c r="AF108"/>
    </row>
    <row r="109" spans="7:32">
      <c r="G109" s="18"/>
      <c r="AA109"/>
      <c r="AB109"/>
      <c r="AC109"/>
      <c r="AD109"/>
      <c r="AE109"/>
      <c r="AF109"/>
    </row>
    <row r="110" spans="7:32">
      <c r="G110" s="18"/>
      <c r="AA110"/>
      <c r="AB110"/>
      <c r="AC110"/>
      <c r="AD110"/>
      <c r="AE110"/>
      <c r="AF110"/>
    </row>
    <row r="111" spans="7:32">
      <c r="G111" s="18"/>
      <c r="AA111"/>
      <c r="AB111"/>
      <c r="AC111"/>
      <c r="AD111"/>
      <c r="AE111"/>
      <c r="AF111"/>
    </row>
    <row r="112" spans="7:32">
      <c r="G112" s="18"/>
      <c r="AA112"/>
      <c r="AB112"/>
      <c r="AC112"/>
      <c r="AD112"/>
      <c r="AE112"/>
      <c r="AF112"/>
    </row>
    <row r="113" spans="7:32">
      <c r="G113" s="18"/>
      <c r="AA113"/>
      <c r="AB113"/>
      <c r="AC113"/>
      <c r="AD113"/>
      <c r="AE113"/>
      <c r="AF113"/>
    </row>
    <row r="114" spans="7:32">
      <c r="G114" s="18"/>
      <c r="AA114"/>
      <c r="AB114"/>
      <c r="AC114"/>
      <c r="AD114"/>
      <c r="AE114"/>
      <c r="AF114"/>
    </row>
    <row r="115" spans="7:32">
      <c r="G115" s="18"/>
      <c r="AA115"/>
      <c r="AB115"/>
      <c r="AC115"/>
      <c r="AD115"/>
      <c r="AE115"/>
      <c r="AF115"/>
    </row>
    <row r="116" spans="7:32">
      <c r="G116" s="18"/>
      <c r="AA116"/>
      <c r="AB116"/>
      <c r="AC116"/>
      <c r="AD116"/>
      <c r="AE116"/>
      <c r="AF116"/>
    </row>
    <row r="117" spans="7:32">
      <c r="G117" s="18"/>
      <c r="AA117"/>
      <c r="AB117"/>
      <c r="AC117"/>
      <c r="AD117"/>
      <c r="AE117"/>
      <c r="AF117"/>
    </row>
    <row r="118" spans="7:32">
      <c r="G118" s="18"/>
      <c r="AA118"/>
      <c r="AB118"/>
      <c r="AC118"/>
      <c r="AD118"/>
      <c r="AE118"/>
      <c r="AF118"/>
    </row>
    <row r="119" spans="7:32">
      <c r="G119" s="18"/>
      <c r="AA119"/>
      <c r="AB119"/>
      <c r="AC119"/>
      <c r="AD119"/>
      <c r="AE119"/>
      <c r="AF119"/>
    </row>
    <row r="120" spans="7:32">
      <c r="G120" s="18"/>
      <c r="AA120"/>
      <c r="AB120"/>
      <c r="AC120"/>
      <c r="AD120"/>
      <c r="AE120"/>
      <c r="AF120"/>
    </row>
    <row r="121" spans="7:32">
      <c r="G121" s="18"/>
      <c r="AA121"/>
      <c r="AB121"/>
      <c r="AC121"/>
      <c r="AD121"/>
      <c r="AE121"/>
      <c r="AF121"/>
    </row>
    <row r="122" spans="7:32">
      <c r="G122" s="18"/>
      <c r="AA122"/>
      <c r="AB122"/>
      <c r="AC122"/>
      <c r="AD122"/>
      <c r="AE122"/>
      <c r="AF122"/>
    </row>
    <row r="123" spans="7:32">
      <c r="G123" s="18"/>
      <c r="AA123"/>
      <c r="AB123"/>
      <c r="AC123"/>
      <c r="AD123"/>
      <c r="AE123"/>
      <c r="AF123"/>
    </row>
    <row r="124" spans="7:32">
      <c r="G124" s="18"/>
      <c r="AA124"/>
      <c r="AB124"/>
      <c r="AC124"/>
      <c r="AD124"/>
      <c r="AE124"/>
      <c r="AF124"/>
    </row>
    <row r="125" spans="7:32">
      <c r="G125" s="18"/>
      <c r="AA125"/>
      <c r="AB125"/>
      <c r="AC125"/>
      <c r="AD125"/>
      <c r="AE125"/>
      <c r="AF125"/>
    </row>
    <row r="126" spans="7:32">
      <c r="G126" s="18"/>
      <c r="AA126"/>
      <c r="AB126"/>
      <c r="AC126"/>
      <c r="AD126"/>
      <c r="AE126"/>
      <c r="AF126"/>
    </row>
    <row r="127" spans="7:32">
      <c r="G127" s="18"/>
      <c r="AA127"/>
      <c r="AB127"/>
      <c r="AC127"/>
      <c r="AD127"/>
      <c r="AE127"/>
      <c r="AF127"/>
    </row>
    <row r="128" spans="7:32">
      <c r="G128" s="18"/>
      <c r="AA128"/>
      <c r="AB128"/>
      <c r="AC128"/>
      <c r="AD128"/>
      <c r="AE128"/>
      <c r="AF128"/>
    </row>
    <row r="129" spans="7:32">
      <c r="G129" s="18"/>
      <c r="AA129"/>
      <c r="AB129"/>
      <c r="AC129"/>
      <c r="AD129"/>
      <c r="AE129"/>
      <c r="AF129"/>
    </row>
    <row r="130" spans="7:32">
      <c r="G130" s="18"/>
      <c r="AA130"/>
      <c r="AB130"/>
      <c r="AC130"/>
      <c r="AD130"/>
      <c r="AE130"/>
      <c r="AF130"/>
    </row>
    <row r="131" spans="7:32">
      <c r="G131" s="18"/>
      <c r="AA131"/>
      <c r="AB131"/>
      <c r="AC131"/>
      <c r="AD131"/>
      <c r="AE131"/>
      <c r="AF131"/>
    </row>
    <row r="132" spans="7:32">
      <c r="G132" s="18"/>
      <c r="AA132"/>
      <c r="AB132"/>
      <c r="AC132"/>
      <c r="AD132"/>
      <c r="AE132"/>
      <c r="AF132"/>
    </row>
    <row r="133" spans="7:32">
      <c r="G133" s="18"/>
      <c r="AA133"/>
      <c r="AB133"/>
      <c r="AC133"/>
      <c r="AD133"/>
      <c r="AE133"/>
      <c r="AF133"/>
    </row>
    <row r="134" spans="7:32">
      <c r="G134" s="18"/>
      <c r="AA134"/>
      <c r="AB134"/>
      <c r="AC134"/>
      <c r="AD134"/>
      <c r="AE134"/>
      <c r="AF134"/>
    </row>
    <row r="135" spans="7:32">
      <c r="G135" s="18"/>
      <c r="AA135"/>
      <c r="AB135"/>
      <c r="AC135"/>
      <c r="AD135"/>
      <c r="AE135"/>
      <c r="AF135"/>
    </row>
    <row r="136" spans="7:32">
      <c r="G136" s="18"/>
      <c r="AA136"/>
      <c r="AB136"/>
      <c r="AC136"/>
      <c r="AD136"/>
      <c r="AE136"/>
      <c r="AF136"/>
    </row>
    <row r="137" spans="7:32">
      <c r="G137" s="18"/>
      <c r="AA137"/>
      <c r="AB137"/>
      <c r="AC137"/>
      <c r="AD137"/>
      <c r="AE137"/>
      <c r="AF137"/>
    </row>
    <row r="138" spans="7:32">
      <c r="G138" s="18"/>
      <c r="AA138"/>
      <c r="AB138"/>
      <c r="AC138"/>
      <c r="AD138"/>
      <c r="AE138"/>
      <c r="AF138"/>
    </row>
    <row r="139" spans="7:32">
      <c r="G139" s="18"/>
      <c r="AA139"/>
      <c r="AB139"/>
      <c r="AC139"/>
      <c r="AD139"/>
      <c r="AE139"/>
      <c r="AF139"/>
    </row>
    <row r="140" spans="7:32">
      <c r="G140" s="18"/>
      <c r="AA140"/>
      <c r="AB140"/>
      <c r="AC140"/>
      <c r="AD140"/>
      <c r="AE140"/>
      <c r="AF140"/>
    </row>
    <row r="141" spans="7:32">
      <c r="G141" s="18"/>
      <c r="AA141"/>
      <c r="AB141"/>
      <c r="AC141"/>
      <c r="AD141"/>
      <c r="AE141"/>
      <c r="AF141"/>
    </row>
    <row r="142" spans="7:32">
      <c r="G142" s="18"/>
      <c r="AA142"/>
      <c r="AB142"/>
      <c r="AC142"/>
      <c r="AD142"/>
      <c r="AE142"/>
      <c r="AF142"/>
    </row>
    <row r="143" spans="7:32">
      <c r="G143" s="18"/>
      <c r="AA143"/>
      <c r="AB143"/>
      <c r="AC143"/>
      <c r="AD143"/>
      <c r="AE143"/>
      <c r="AF143"/>
    </row>
    <row r="144" spans="7:32">
      <c r="G144" s="18"/>
      <c r="AA144"/>
      <c r="AB144"/>
      <c r="AC144"/>
      <c r="AD144"/>
      <c r="AE144"/>
      <c r="AF144"/>
    </row>
    <row r="145" spans="7:32">
      <c r="G145" s="18"/>
      <c r="AA145"/>
      <c r="AB145"/>
      <c r="AC145"/>
      <c r="AD145"/>
      <c r="AE145"/>
      <c r="AF145"/>
    </row>
    <row r="146" spans="7:32">
      <c r="G146" s="18"/>
      <c r="AA146"/>
      <c r="AB146"/>
      <c r="AC146"/>
      <c r="AD146"/>
      <c r="AE146"/>
      <c r="AF146"/>
    </row>
    <row r="147" spans="7:32">
      <c r="G147" s="18"/>
      <c r="AA147"/>
      <c r="AB147"/>
      <c r="AC147"/>
      <c r="AD147"/>
      <c r="AE147"/>
      <c r="AF147"/>
    </row>
    <row r="148" spans="7:32">
      <c r="G148" s="18"/>
      <c r="AA148"/>
      <c r="AB148"/>
      <c r="AC148"/>
      <c r="AD148"/>
      <c r="AE148"/>
      <c r="AF148"/>
    </row>
    <row r="149" spans="7:32">
      <c r="G149" s="18"/>
      <c r="AA149"/>
      <c r="AB149"/>
      <c r="AC149"/>
      <c r="AD149"/>
      <c r="AE149"/>
      <c r="AF149"/>
    </row>
    <row r="150" spans="7:32">
      <c r="G150" s="18"/>
      <c r="AA150"/>
      <c r="AB150"/>
      <c r="AC150"/>
      <c r="AD150"/>
      <c r="AE150"/>
      <c r="AF150"/>
    </row>
    <row r="151" spans="7:32">
      <c r="G151" s="18"/>
      <c r="AA151"/>
      <c r="AB151"/>
      <c r="AC151"/>
      <c r="AD151"/>
      <c r="AE151"/>
      <c r="AF151"/>
    </row>
    <row r="152" spans="7:32">
      <c r="G152" s="18"/>
      <c r="AA152"/>
      <c r="AB152"/>
      <c r="AC152"/>
      <c r="AD152"/>
      <c r="AE152"/>
      <c r="AF152"/>
    </row>
    <row r="153" spans="7:32">
      <c r="G153" s="18"/>
      <c r="AA153"/>
      <c r="AB153"/>
      <c r="AC153"/>
      <c r="AD153"/>
      <c r="AE153"/>
      <c r="AF153"/>
    </row>
    <row r="154" spans="7:32">
      <c r="G154" s="18"/>
      <c r="AA154"/>
      <c r="AB154"/>
      <c r="AC154"/>
      <c r="AD154"/>
      <c r="AE154"/>
      <c r="AF154"/>
    </row>
    <row r="155" spans="7:32">
      <c r="G155" s="18"/>
      <c r="AA155"/>
      <c r="AB155"/>
      <c r="AC155"/>
      <c r="AD155"/>
      <c r="AE155"/>
      <c r="AF155"/>
    </row>
    <row r="156" spans="7:32">
      <c r="G156" s="18"/>
      <c r="AA156"/>
      <c r="AB156"/>
      <c r="AC156"/>
      <c r="AD156"/>
      <c r="AE156"/>
      <c r="AF156"/>
    </row>
    <row r="157" spans="7:32">
      <c r="G157" s="18"/>
      <c r="AA157"/>
      <c r="AB157"/>
      <c r="AC157"/>
      <c r="AD157"/>
      <c r="AE157"/>
      <c r="AF157"/>
    </row>
    <row r="158" spans="7:32">
      <c r="G158" s="18"/>
      <c r="AA158"/>
      <c r="AB158"/>
      <c r="AC158"/>
      <c r="AD158"/>
      <c r="AE158"/>
      <c r="AF158"/>
    </row>
    <row r="159" spans="7:32">
      <c r="G159" s="18"/>
      <c r="AA159"/>
      <c r="AB159"/>
      <c r="AC159"/>
      <c r="AD159"/>
      <c r="AE159"/>
      <c r="AF159"/>
    </row>
    <row r="160" spans="7:32">
      <c r="G160" s="18"/>
      <c r="AA160"/>
      <c r="AB160"/>
      <c r="AC160"/>
      <c r="AD160"/>
      <c r="AE160"/>
      <c r="AF160"/>
    </row>
    <row r="161" spans="7:32">
      <c r="G161" s="18"/>
      <c r="AA161"/>
      <c r="AB161"/>
      <c r="AC161"/>
      <c r="AD161"/>
      <c r="AE161"/>
      <c r="AF161"/>
    </row>
    <row r="162" spans="7:32">
      <c r="G162" s="18"/>
      <c r="AA162"/>
      <c r="AB162"/>
      <c r="AC162"/>
      <c r="AD162"/>
      <c r="AE162"/>
      <c r="AF162"/>
    </row>
    <row r="163" spans="7:32">
      <c r="G163" s="18"/>
      <c r="AA163"/>
      <c r="AB163"/>
      <c r="AC163"/>
      <c r="AD163"/>
      <c r="AE163"/>
      <c r="AF163"/>
    </row>
    <row r="164" spans="7:32">
      <c r="G164" s="18"/>
      <c r="AA164"/>
      <c r="AB164"/>
      <c r="AC164"/>
      <c r="AD164"/>
      <c r="AE164"/>
      <c r="AF164"/>
    </row>
    <row r="165" spans="7:32">
      <c r="G165" s="18"/>
      <c r="AA165"/>
      <c r="AB165"/>
      <c r="AC165"/>
      <c r="AD165"/>
      <c r="AE165"/>
      <c r="AF165"/>
    </row>
    <row r="166" spans="7:32">
      <c r="G166" s="18"/>
      <c r="AA166"/>
      <c r="AB166"/>
      <c r="AC166"/>
      <c r="AD166"/>
      <c r="AE166"/>
      <c r="AF166"/>
    </row>
    <row r="167" spans="7:32">
      <c r="G167" s="18"/>
      <c r="AA167"/>
      <c r="AB167"/>
      <c r="AC167"/>
      <c r="AD167"/>
      <c r="AE167"/>
      <c r="AF167"/>
    </row>
    <row r="168" spans="7:32">
      <c r="G168" s="18"/>
      <c r="AA168"/>
      <c r="AB168"/>
      <c r="AC168"/>
      <c r="AD168"/>
      <c r="AE168"/>
      <c r="AF168"/>
    </row>
    <row r="169" spans="7:32">
      <c r="G169" s="18"/>
      <c r="AA169"/>
      <c r="AB169"/>
      <c r="AC169"/>
      <c r="AD169"/>
      <c r="AE169"/>
      <c r="AF169"/>
    </row>
    <row r="170" spans="7:32">
      <c r="G170" s="18"/>
      <c r="AA170"/>
      <c r="AB170"/>
      <c r="AC170"/>
      <c r="AD170"/>
      <c r="AE170"/>
      <c r="AF170"/>
    </row>
    <row r="171" spans="7:32">
      <c r="G171" s="18"/>
      <c r="AA171"/>
      <c r="AB171"/>
      <c r="AC171"/>
      <c r="AD171"/>
      <c r="AE171"/>
      <c r="AF171"/>
    </row>
    <row r="172" spans="7:32">
      <c r="G172" s="18"/>
      <c r="AA172"/>
      <c r="AB172"/>
      <c r="AC172"/>
      <c r="AD172"/>
      <c r="AE172"/>
      <c r="AF172"/>
    </row>
    <row r="173" spans="7:32">
      <c r="G173" s="18"/>
      <c r="AA173"/>
      <c r="AB173"/>
      <c r="AC173"/>
      <c r="AD173"/>
      <c r="AE173"/>
      <c r="AF173"/>
    </row>
    <row r="174" spans="7:32">
      <c r="G174" s="18"/>
      <c r="AA174"/>
      <c r="AB174"/>
      <c r="AC174"/>
      <c r="AD174"/>
      <c r="AE174"/>
      <c r="AF174"/>
    </row>
    <row r="175" spans="7:32">
      <c r="G175" s="18"/>
      <c r="AA175"/>
      <c r="AB175"/>
      <c r="AC175"/>
      <c r="AD175"/>
      <c r="AE175"/>
      <c r="AF175"/>
    </row>
    <row r="176" spans="7:32">
      <c r="G176" s="18"/>
      <c r="AA176"/>
      <c r="AB176"/>
      <c r="AC176"/>
      <c r="AD176"/>
      <c r="AE176"/>
      <c r="AF176"/>
    </row>
    <row r="177" spans="7:32">
      <c r="G177" s="18"/>
      <c r="AA177"/>
      <c r="AB177"/>
      <c r="AC177"/>
      <c r="AD177"/>
      <c r="AE177"/>
      <c r="AF177"/>
    </row>
    <row r="178" spans="7:32">
      <c r="G178" s="18"/>
      <c r="AA178"/>
      <c r="AB178"/>
      <c r="AC178"/>
      <c r="AD178"/>
      <c r="AE178"/>
      <c r="AF178"/>
    </row>
    <row r="179" spans="7:32">
      <c r="G179" s="18"/>
      <c r="AA179"/>
      <c r="AB179"/>
      <c r="AC179"/>
      <c r="AD179"/>
      <c r="AE179"/>
      <c r="AF179"/>
    </row>
    <row r="180" spans="7:32">
      <c r="G180" s="18"/>
      <c r="AA180"/>
      <c r="AB180"/>
      <c r="AC180"/>
      <c r="AD180"/>
      <c r="AE180"/>
      <c r="AF180"/>
    </row>
    <row r="181" spans="7:32">
      <c r="G181" s="18"/>
      <c r="AA181"/>
      <c r="AB181"/>
      <c r="AC181"/>
      <c r="AD181"/>
      <c r="AE181"/>
      <c r="AF181"/>
    </row>
    <row r="182" spans="7:32">
      <c r="G182" s="18"/>
      <c r="AA182"/>
      <c r="AB182"/>
      <c r="AC182"/>
      <c r="AD182"/>
      <c r="AE182"/>
      <c r="AF182"/>
    </row>
    <row r="183" spans="7:32">
      <c r="G183" s="18"/>
      <c r="AA183"/>
      <c r="AB183"/>
      <c r="AC183"/>
      <c r="AD183"/>
      <c r="AE183"/>
      <c r="AF183"/>
    </row>
    <row r="184" spans="7:32">
      <c r="G184" s="18"/>
      <c r="AA184"/>
      <c r="AB184"/>
      <c r="AC184"/>
      <c r="AD184"/>
      <c r="AE184"/>
      <c r="AF184"/>
    </row>
    <row r="185" spans="7:32">
      <c r="G185" s="18"/>
      <c r="AA185"/>
      <c r="AB185"/>
      <c r="AC185"/>
      <c r="AD185"/>
      <c r="AE185"/>
      <c r="AF185"/>
    </row>
    <row r="186" spans="7:32">
      <c r="G186" s="18"/>
      <c r="AA186"/>
      <c r="AB186"/>
      <c r="AC186"/>
      <c r="AD186"/>
      <c r="AE186"/>
      <c r="AF186"/>
    </row>
    <row r="187" spans="7:32">
      <c r="G187" s="18"/>
      <c r="AA187"/>
      <c r="AB187"/>
      <c r="AC187"/>
      <c r="AD187"/>
      <c r="AE187"/>
      <c r="AF187"/>
    </row>
    <row r="188" spans="7:32">
      <c r="G188" s="18"/>
      <c r="AA188"/>
      <c r="AB188"/>
      <c r="AC188"/>
      <c r="AD188"/>
      <c r="AE188"/>
      <c r="AF188"/>
    </row>
    <row r="189" spans="7:32">
      <c r="G189" s="18"/>
      <c r="AA189"/>
      <c r="AB189"/>
      <c r="AC189"/>
      <c r="AD189"/>
      <c r="AE189"/>
      <c r="AF189"/>
    </row>
    <row r="190" spans="7:32">
      <c r="G190" s="18"/>
      <c r="AA190"/>
      <c r="AB190"/>
      <c r="AC190"/>
      <c r="AD190"/>
      <c r="AE190"/>
      <c r="AF190"/>
    </row>
    <row r="191" spans="7:32">
      <c r="G191" s="18"/>
      <c r="AA191"/>
      <c r="AB191"/>
      <c r="AC191"/>
      <c r="AD191"/>
      <c r="AE191"/>
      <c r="AF191"/>
    </row>
    <row r="192" spans="7:32">
      <c r="G192" s="18"/>
      <c r="AA192"/>
      <c r="AB192"/>
      <c r="AC192"/>
      <c r="AD192"/>
      <c r="AE192"/>
      <c r="AF192"/>
    </row>
    <row r="193" spans="7:32">
      <c r="G193" s="18"/>
      <c r="AA193"/>
      <c r="AB193"/>
      <c r="AC193"/>
      <c r="AD193"/>
      <c r="AE193"/>
      <c r="AF193"/>
    </row>
    <row r="194" spans="7:32">
      <c r="G194" s="18"/>
      <c r="AA194"/>
      <c r="AB194"/>
      <c r="AC194"/>
      <c r="AD194"/>
      <c r="AE194"/>
      <c r="AF194"/>
    </row>
    <row r="195" spans="7:32">
      <c r="G195" s="18"/>
      <c r="AA195"/>
      <c r="AB195"/>
      <c r="AC195"/>
      <c r="AD195"/>
      <c r="AE195"/>
      <c r="AF195"/>
    </row>
    <row r="196" spans="7:32">
      <c r="G196" s="18"/>
      <c r="AA196"/>
      <c r="AB196"/>
      <c r="AC196"/>
      <c r="AD196"/>
      <c r="AE196"/>
      <c r="AF196"/>
    </row>
    <row r="197" spans="7:32">
      <c r="G197" s="18"/>
      <c r="AA197"/>
      <c r="AB197"/>
      <c r="AC197"/>
      <c r="AD197"/>
      <c r="AE197"/>
      <c r="AF197"/>
    </row>
    <row r="198" spans="7:32">
      <c r="G198" s="18"/>
      <c r="AA198"/>
      <c r="AB198"/>
      <c r="AC198"/>
      <c r="AD198"/>
      <c r="AE198"/>
      <c r="AF198"/>
    </row>
    <row r="199" spans="7:32">
      <c r="G199" s="18"/>
      <c r="AA199"/>
      <c r="AB199"/>
      <c r="AC199"/>
      <c r="AD199"/>
      <c r="AE199"/>
      <c r="AF199"/>
    </row>
    <row r="200" spans="7:32">
      <c r="G200" s="18"/>
      <c r="AA200"/>
      <c r="AB200"/>
      <c r="AC200"/>
      <c r="AD200"/>
      <c r="AE200"/>
      <c r="AF200"/>
    </row>
    <row r="201" spans="7:32">
      <c r="G201" s="18"/>
      <c r="AA201"/>
      <c r="AB201"/>
      <c r="AC201"/>
      <c r="AD201"/>
      <c r="AE201"/>
      <c r="AF201"/>
    </row>
    <row r="202" spans="7:32">
      <c r="G202" s="18"/>
      <c r="AA202"/>
      <c r="AB202"/>
      <c r="AC202"/>
      <c r="AD202"/>
      <c r="AE202"/>
      <c r="AF202"/>
    </row>
    <row r="203" spans="7:32">
      <c r="G203" s="18"/>
      <c r="AA203"/>
      <c r="AB203"/>
      <c r="AC203"/>
      <c r="AD203"/>
      <c r="AE203"/>
      <c r="AF203"/>
    </row>
    <row r="204" spans="7:32">
      <c r="G204" s="18"/>
      <c r="AA204"/>
      <c r="AB204"/>
      <c r="AC204"/>
      <c r="AD204"/>
      <c r="AE204"/>
      <c r="AF204"/>
    </row>
    <row r="205" spans="7:32">
      <c r="G205" s="18"/>
      <c r="AA205"/>
      <c r="AB205"/>
      <c r="AC205"/>
      <c r="AD205"/>
      <c r="AE205"/>
      <c r="AF205"/>
    </row>
    <row r="206" spans="7:32">
      <c r="G206" s="18"/>
      <c r="AA206"/>
      <c r="AB206"/>
      <c r="AC206"/>
      <c r="AD206"/>
      <c r="AE206"/>
      <c r="AF206"/>
    </row>
    <row r="207" spans="7:32">
      <c r="G207" s="18"/>
      <c r="AA207"/>
      <c r="AB207"/>
      <c r="AC207"/>
      <c r="AD207"/>
      <c r="AE207"/>
      <c r="AF207"/>
    </row>
    <row r="208" spans="7:32">
      <c r="G208" s="18"/>
      <c r="AA208"/>
      <c r="AB208"/>
      <c r="AC208"/>
      <c r="AD208"/>
      <c r="AE208"/>
      <c r="AF208"/>
    </row>
    <row r="209" spans="7:32">
      <c r="G209" s="18"/>
      <c r="AA209"/>
      <c r="AB209"/>
      <c r="AC209"/>
      <c r="AD209"/>
      <c r="AE209"/>
      <c r="AF209"/>
    </row>
    <row r="210" spans="7:32">
      <c r="G210" s="18"/>
      <c r="AA210"/>
      <c r="AB210"/>
      <c r="AC210"/>
      <c r="AD210"/>
      <c r="AE210"/>
      <c r="AF210"/>
    </row>
    <row r="211" spans="7:32">
      <c r="G211" s="18"/>
      <c r="AA211"/>
      <c r="AB211"/>
      <c r="AC211"/>
      <c r="AD211"/>
      <c r="AE211"/>
      <c r="AF211"/>
    </row>
    <row r="212" spans="7:32">
      <c r="G212" s="18"/>
      <c r="AA212"/>
      <c r="AB212"/>
      <c r="AC212"/>
      <c r="AD212"/>
      <c r="AE212"/>
      <c r="AF212"/>
    </row>
    <row r="213" spans="7:32">
      <c r="G213" s="18"/>
      <c r="AA213"/>
      <c r="AB213"/>
      <c r="AC213"/>
      <c r="AD213"/>
      <c r="AE213"/>
      <c r="AF213"/>
    </row>
    <row r="214" spans="7:32">
      <c r="G214" s="18"/>
      <c r="AA214"/>
      <c r="AB214"/>
      <c r="AC214"/>
      <c r="AD214"/>
      <c r="AE214"/>
      <c r="AF214"/>
    </row>
    <row r="215" spans="7:32">
      <c r="G215" s="18"/>
      <c r="AA215"/>
      <c r="AB215"/>
      <c r="AC215"/>
      <c r="AD215"/>
      <c r="AE215"/>
      <c r="AF215"/>
    </row>
    <row r="216" spans="7:32">
      <c r="G216" s="18"/>
      <c r="AA216"/>
      <c r="AB216"/>
      <c r="AC216"/>
      <c r="AD216"/>
      <c r="AE216"/>
      <c r="AF216"/>
    </row>
    <row r="217" spans="7:32">
      <c r="G217" s="18"/>
      <c r="AA217"/>
      <c r="AB217"/>
      <c r="AC217"/>
      <c r="AD217"/>
      <c r="AE217"/>
      <c r="AF217"/>
    </row>
    <row r="218" spans="7:32">
      <c r="G218" s="18"/>
      <c r="AA218"/>
      <c r="AB218"/>
      <c r="AC218"/>
      <c r="AD218"/>
      <c r="AE218"/>
      <c r="AF218"/>
    </row>
    <row r="219" spans="7:32">
      <c r="G219" s="18"/>
      <c r="AA219"/>
      <c r="AB219"/>
      <c r="AC219"/>
      <c r="AD219"/>
      <c r="AE219"/>
      <c r="AF219"/>
    </row>
    <row r="220" spans="7:32">
      <c r="G220" s="18"/>
      <c r="AA220"/>
      <c r="AB220"/>
      <c r="AC220"/>
      <c r="AD220"/>
      <c r="AE220"/>
      <c r="AF220"/>
    </row>
    <row r="221" spans="7:32">
      <c r="G221" s="18"/>
      <c r="AA221"/>
      <c r="AB221"/>
      <c r="AC221"/>
      <c r="AD221"/>
      <c r="AE221"/>
      <c r="AF221"/>
    </row>
    <row r="222" spans="7:32">
      <c r="G222" s="18"/>
      <c r="AA222"/>
      <c r="AB222"/>
      <c r="AC222"/>
      <c r="AD222"/>
      <c r="AE222"/>
      <c r="AF222"/>
    </row>
    <row r="223" spans="7:32">
      <c r="G223" s="18"/>
      <c r="AA223"/>
      <c r="AB223"/>
      <c r="AC223"/>
      <c r="AD223"/>
      <c r="AE223"/>
      <c r="AF223"/>
    </row>
    <row r="224" spans="7:32">
      <c r="G224" s="18"/>
      <c r="AA224"/>
      <c r="AB224"/>
      <c r="AC224"/>
      <c r="AD224"/>
      <c r="AE224"/>
      <c r="AF224"/>
    </row>
    <row r="225" spans="7:32">
      <c r="G225" s="18"/>
      <c r="AA225"/>
      <c r="AB225"/>
      <c r="AC225"/>
      <c r="AD225"/>
      <c r="AE225"/>
      <c r="AF225"/>
    </row>
    <row r="226" spans="7:32">
      <c r="G226" s="18"/>
      <c r="AA226"/>
      <c r="AB226"/>
      <c r="AC226"/>
      <c r="AD226"/>
      <c r="AE226"/>
      <c r="AF226"/>
    </row>
    <row r="227" spans="7:32">
      <c r="G227" s="18"/>
      <c r="AA227"/>
      <c r="AB227"/>
      <c r="AC227"/>
      <c r="AD227"/>
      <c r="AE227"/>
      <c r="AF227"/>
    </row>
    <row r="228" spans="7:32">
      <c r="G228" s="18"/>
      <c r="AA228"/>
      <c r="AB228"/>
      <c r="AC228"/>
      <c r="AD228"/>
      <c r="AE228"/>
      <c r="AF228"/>
    </row>
    <row r="229" spans="7:32">
      <c r="G229" s="18"/>
      <c r="AA229"/>
      <c r="AB229"/>
      <c r="AC229"/>
      <c r="AD229"/>
      <c r="AE229"/>
      <c r="AF229"/>
    </row>
    <row r="230" spans="7:32">
      <c r="G230" s="18"/>
      <c r="AA230"/>
      <c r="AB230"/>
      <c r="AC230"/>
      <c r="AD230"/>
      <c r="AE230"/>
      <c r="AF230"/>
    </row>
    <row r="231" spans="7:32">
      <c r="G231" s="18"/>
      <c r="AA231"/>
      <c r="AB231"/>
      <c r="AC231"/>
      <c r="AD231"/>
      <c r="AE231"/>
      <c r="AF231"/>
    </row>
    <row r="232" spans="7:32">
      <c r="G232" s="18"/>
      <c r="AA232"/>
      <c r="AB232"/>
      <c r="AC232"/>
      <c r="AD232"/>
      <c r="AE232"/>
      <c r="AF232"/>
    </row>
    <row r="233" spans="7:32">
      <c r="G233" s="18"/>
      <c r="AA233"/>
      <c r="AB233"/>
      <c r="AC233"/>
      <c r="AD233"/>
      <c r="AE233"/>
      <c r="AF233"/>
    </row>
    <row r="234" spans="7:32">
      <c r="G234" s="18"/>
      <c r="AA234"/>
      <c r="AB234"/>
      <c r="AC234"/>
      <c r="AD234"/>
      <c r="AE234"/>
      <c r="AF234"/>
    </row>
    <row r="235" spans="7:32">
      <c r="G235" s="18"/>
      <c r="AA235"/>
      <c r="AB235"/>
      <c r="AC235"/>
      <c r="AD235"/>
      <c r="AE235"/>
      <c r="AF235"/>
    </row>
    <row r="236" spans="7:32">
      <c r="G236" s="18"/>
      <c r="AA236"/>
      <c r="AB236"/>
      <c r="AC236"/>
      <c r="AD236"/>
      <c r="AE236"/>
      <c r="AF236"/>
    </row>
    <row r="237" spans="7:32">
      <c r="G237" s="18"/>
      <c r="AA237"/>
      <c r="AB237"/>
      <c r="AC237"/>
      <c r="AD237"/>
      <c r="AE237"/>
      <c r="AF237"/>
    </row>
    <row r="238" spans="7:32">
      <c r="G238" s="18"/>
      <c r="AA238"/>
      <c r="AB238"/>
      <c r="AC238"/>
      <c r="AD238"/>
      <c r="AE238"/>
      <c r="AF238"/>
    </row>
    <row r="239" spans="7:32">
      <c r="G239" s="18"/>
      <c r="AA239"/>
      <c r="AB239"/>
      <c r="AC239"/>
      <c r="AD239"/>
      <c r="AE239"/>
      <c r="AF239"/>
    </row>
    <row r="240" spans="7:32">
      <c r="G240" s="18"/>
      <c r="AA240"/>
      <c r="AB240"/>
      <c r="AC240"/>
      <c r="AD240"/>
      <c r="AE240"/>
      <c r="AF240"/>
    </row>
    <row r="241" spans="7:32">
      <c r="G241" s="18"/>
      <c r="AA241"/>
      <c r="AB241"/>
      <c r="AC241"/>
      <c r="AD241"/>
      <c r="AE241"/>
      <c r="AF241"/>
    </row>
    <row r="242" spans="7:32">
      <c r="G242" s="18"/>
      <c r="AA242"/>
      <c r="AB242"/>
      <c r="AC242"/>
      <c r="AD242"/>
      <c r="AE242"/>
      <c r="AF242"/>
    </row>
    <row r="243" spans="7:32">
      <c r="G243" s="18"/>
      <c r="AA243"/>
      <c r="AB243"/>
      <c r="AC243"/>
      <c r="AD243"/>
      <c r="AE243"/>
      <c r="AF243"/>
    </row>
    <row r="244" spans="7:32">
      <c r="G244" s="18"/>
      <c r="AA244"/>
      <c r="AB244"/>
      <c r="AC244"/>
      <c r="AD244"/>
      <c r="AE244"/>
      <c r="AF244"/>
    </row>
    <row r="245" spans="7:32">
      <c r="G245" s="18"/>
      <c r="AA245"/>
      <c r="AB245"/>
      <c r="AC245"/>
      <c r="AD245"/>
      <c r="AE245"/>
      <c r="AF245"/>
    </row>
    <row r="246" spans="7:32">
      <c r="G246" s="18"/>
      <c r="AA246"/>
      <c r="AB246"/>
      <c r="AC246"/>
      <c r="AD246"/>
      <c r="AE246"/>
      <c r="AF246"/>
    </row>
    <row r="247" spans="7:32">
      <c r="G247" s="18"/>
      <c r="AA247"/>
      <c r="AB247"/>
      <c r="AC247"/>
      <c r="AD247"/>
      <c r="AE247"/>
      <c r="AF247"/>
    </row>
    <row r="248" spans="7:32">
      <c r="G248" s="18"/>
      <c r="AA248"/>
      <c r="AB248"/>
      <c r="AC248"/>
      <c r="AD248"/>
      <c r="AE248"/>
      <c r="AF248"/>
    </row>
    <row r="249" spans="7:32">
      <c r="G249" s="18"/>
      <c r="AA249"/>
      <c r="AB249"/>
      <c r="AC249"/>
      <c r="AD249"/>
      <c r="AE249"/>
      <c r="AF249"/>
    </row>
    <row r="250" spans="7:32">
      <c r="G250" s="18"/>
      <c r="AA250"/>
      <c r="AB250"/>
      <c r="AC250"/>
      <c r="AD250"/>
      <c r="AE250"/>
      <c r="AF250"/>
    </row>
    <row r="251" spans="7:32">
      <c r="G251" s="18"/>
      <c r="AA251"/>
      <c r="AB251"/>
      <c r="AC251"/>
      <c r="AD251"/>
      <c r="AE251"/>
      <c r="AF251"/>
    </row>
    <row r="252" spans="7:32">
      <c r="G252" s="18"/>
      <c r="AA252"/>
      <c r="AB252"/>
      <c r="AC252"/>
      <c r="AD252"/>
      <c r="AE252"/>
      <c r="AF252"/>
    </row>
    <row r="253" spans="7:32">
      <c r="G253" s="18"/>
      <c r="AA253"/>
      <c r="AB253"/>
      <c r="AC253"/>
      <c r="AD253"/>
      <c r="AE253"/>
      <c r="AF253"/>
    </row>
    <row r="254" spans="7:32">
      <c r="G254" s="18"/>
      <c r="AA254"/>
      <c r="AB254"/>
      <c r="AC254"/>
      <c r="AD254"/>
      <c r="AE254"/>
      <c r="AF254"/>
    </row>
    <row r="255" spans="7:32">
      <c r="G255" s="18"/>
      <c r="AA255"/>
      <c r="AB255"/>
      <c r="AC255"/>
      <c r="AD255"/>
      <c r="AE255"/>
      <c r="AF255"/>
    </row>
    <row r="256" spans="7:32">
      <c r="G256" s="18"/>
      <c r="AA256"/>
      <c r="AB256"/>
      <c r="AC256"/>
      <c r="AD256"/>
      <c r="AE256"/>
      <c r="AF256"/>
    </row>
    <row r="257" spans="7:32">
      <c r="G257" s="18"/>
      <c r="AA257"/>
      <c r="AB257"/>
      <c r="AC257"/>
      <c r="AD257"/>
      <c r="AE257"/>
      <c r="AF257"/>
    </row>
    <row r="258" spans="7:32">
      <c r="G258" s="18"/>
      <c r="AA258"/>
      <c r="AB258"/>
      <c r="AC258"/>
      <c r="AD258"/>
      <c r="AE258"/>
      <c r="AF258"/>
    </row>
    <row r="259" spans="7:32">
      <c r="G259" s="18"/>
      <c r="AA259"/>
      <c r="AB259"/>
      <c r="AC259"/>
      <c r="AD259"/>
      <c r="AE259"/>
      <c r="AF259"/>
    </row>
    <row r="260" spans="7:32">
      <c r="G260" s="18"/>
      <c r="AA260"/>
      <c r="AB260"/>
      <c r="AC260"/>
      <c r="AD260"/>
      <c r="AE260"/>
      <c r="AF260"/>
    </row>
    <row r="261" spans="7:32">
      <c r="G261" s="18"/>
      <c r="AA261"/>
      <c r="AB261"/>
      <c r="AC261"/>
      <c r="AD261"/>
      <c r="AE261"/>
      <c r="AF261"/>
    </row>
    <row r="262" spans="7:32">
      <c r="G262" s="18"/>
      <c r="AA262"/>
      <c r="AB262"/>
      <c r="AC262"/>
      <c r="AD262"/>
      <c r="AE262"/>
      <c r="AF262"/>
    </row>
    <row r="263" spans="7:32">
      <c r="G263" s="18"/>
      <c r="AA263"/>
      <c r="AB263"/>
      <c r="AC263"/>
      <c r="AD263"/>
      <c r="AE263"/>
      <c r="AF263"/>
    </row>
    <row r="264" spans="7:32">
      <c r="G264" s="18"/>
      <c r="AA264"/>
      <c r="AB264"/>
      <c r="AC264"/>
      <c r="AD264"/>
      <c r="AE264"/>
      <c r="AF264"/>
    </row>
    <row r="265" spans="7:32">
      <c r="G265" s="18"/>
      <c r="AA265"/>
      <c r="AB265"/>
      <c r="AC265"/>
      <c r="AD265"/>
      <c r="AE265"/>
      <c r="AF265"/>
    </row>
    <row r="266" spans="7:32">
      <c r="G266" s="18"/>
      <c r="AA266"/>
      <c r="AB266"/>
      <c r="AC266"/>
      <c r="AD266"/>
      <c r="AE266"/>
      <c r="AF266"/>
    </row>
    <row r="267" spans="7:32">
      <c r="G267" s="18"/>
      <c r="AA267"/>
      <c r="AB267"/>
      <c r="AC267"/>
      <c r="AD267"/>
      <c r="AE267"/>
      <c r="AF267"/>
    </row>
    <row r="268" spans="7:32">
      <c r="G268" s="18"/>
      <c r="AA268"/>
      <c r="AB268"/>
      <c r="AC268"/>
      <c r="AD268"/>
      <c r="AE268"/>
      <c r="AF268"/>
    </row>
    <row r="269" spans="7:32">
      <c r="G269" s="18"/>
      <c r="AA269"/>
      <c r="AB269"/>
      <c r="AC269"/>
      <c r="AD269"/>
      <c r="AE269"/>
      <c r="AF269"/>
    </row>
    <row r="270" spans="7:32">
      <c r="G270" s="18"/>
      <c r="AA270"/>
      <c r="AB270"/>
      <c r="AC270"/>
      <c r="AD270"/>
      <c r="AE270"/>
      <c r="AF270"/>
    </row>
    <row r="271" spans="7:32">
      <c r="G271" s="18"/>
      <c r="AA271"/>
      <c r="AB271"/>
      <c r="AC271"/>
      <c r="AD271"/>
      <c r="AE271"/>
      <c r="AF271"/>
    </row>
    <row r="272" spans="7:32">
      <c r="G272" s="18"/>
      <c r="AA272"/>
      <c r="AB272"/>
      <c r="AC272"/>
      <c r="AD272"/>
      <c r="AE272"/>
      <c r="AF272"/>
    </row>
    <row r="273" spans="7:32">
      <c r="G273" s="18"/>
      <c r="AA273"/>
      <c r="AB273"/>
      <c r="AC273"/>
      <c r="AD273"/>
      <c r="AE273"/>
      <c r="AF273"/>
    </row>
    <row r="274" spans="7:32">
      <c r="G274" s="18"/>
      <c r="AA274"/>
      <c r="AB274"/>
      <c r="AC274"/>
      <c r="AD274"/>
      <c r="AE274"/>
      <c r="AF274"/>
    </row>
    <row r="275" spans="7:32">
      <c r="G275" s="18"/>
      <c r="AA275"/>
      <c r="AB275"/>
      <c r="AC275"/>
      <c r="AD275"/>
      <c r="AE275"/>
      <c r="AF275"/>
    </row>
    <row r="276" spans="7:32">
      <c r="G276" s="18"/>
      <c r="AA276"/>
      <c r="AB276"/>
      <c r="AC276"/>
      <c r="AD276"/>
      <c r="AE276"/>
      <c r="AF276"/>
    </row>
    <row r="277" spans="7:32">
      <c r="G277" s="18"/>
      <c r="AA277"/>
      <c r="AB277"/>
      <c r="AC277"/>
      <c r="AD277"/>
      <c r="AE277"/>
      <c r="AF277"/>
    </row>
    <row r="278" spans="7:32">
      <c r="G278" s="18"/>
      <c r="AA278"/>
      <c r="AB278"/>
      <c r="AC278"/>
      <c r="AD278"/>
      <c r="AE278"/>
      <c r="AF278"/>
    </row>
    <row r="279" spans="7:32">
      <c r="G279" s="18"/>
      <c r="AA279"/>
      <c r="AB279"/>
      <c r="AC279"/>
      <c r="AD279"/>
      <c r="AE279"/>
      <c r="AF279"/>
    </row>
    <row r="280" spans="7:32">
      <c r="G280" s="18"/>
      <c r="AA280"/>
      <c r="AB280"/>
      <c r="AC280"/>
      <c r="AD280"/>
      <c r="AE280"/>
      <c r="AF280"/>
    </row>
    <row r="281" spans="7:32">
      <c r="G281" s="18"/>
      <c r="AA281"/>
      <c r="AB281"/>
      <c r="AC281"/>
      <c r="AD281"/>
      <c r="AE281"/>
      <c r="AF281"/>
    </row>
    <row r="282" spans="7:32">
      <c r="G282" s="18"/>
      <c r="AA282"/>
      <c r="AB282"/>
      <c r="AC282"/>
      <c r="AD282"/>
      <c r="AE282"/>
      <c r="AF282"/>
    </row>
    <row r="283" spans="7:32">
      <c r="G283" s="18"/>
      <c r="AA283"/>
      <c r="AB283"/>
      <c r="AC283"/>
      <c r="AD283"/>
      <c r="AE283"/>
      <c r="AF283"/>
    </row>
    <row r="284" spans="7:32">
      <c r="G284" s="18"/>
      <c r="AA284"/>
      <c r="AB284"/>
      <c r="AC284"/>
      <c r="AD284"/>
      <c r="AE284"/>
      <c r="AF284"/>
    </row>
    <row r="285" spans="7:32">
      <c r="G285" s="18"/>
      <c r="AA285"/>
      <c r="AB285"/>
      <c r="AC285"/>
      <c r="AD285"/>
      <c r="AE285"/>
      <c r="AF285"/>
    </row>
    <row r="286" spans="7:32">
      <c r="G286" s="18"/>
      <c r="AA286"/>
      <c r="AB286"/>
      <c r="AC286"/>
      <c r="AD286"/>
      <c r="AE286"/>
      <c r="AF286"/>
    </row>
    <row r="287" spans="7:32">
      <c r="G287" s="18"/>
      <c r="AA287"/>
      <c r="AB287"/>
      <c r="AC287"/>
      <c r="AD287"/>
      <c r="AE287"/>
      <c r="AF287"/>
    </row>
    <row r="288" spans="7:32">
      <c r="G288" s="18"/>
      <c r="AA288"/>
      <c r="AB288"/>
      <c r="AC288"/>
      <c r="AD288"/>
      <c r="AE288"/>
      <c r="AF288"/>
    </row>
    <row r="289" spans="7:32">
      <c r="G289" s="18"/>
      <c r="AA289"/>
      <c r="AB289"/>
      <c r="AC289"/>
      <c r="AD289"/>
      <c r="AE289"/>
      <c r="AF289"/>
    </row>
    <row r="290" spans="7:32">
      <c r="G290" s="18"/>
      <c r="AA290"/>
      <c r="AB290"/>
      <c r="AC290"/>
      <c r="AD290"/>
      <c r="AE290"/>
      <c r="AF290"/>
    </row>
    <row r="291" spans="7:32">
      <c r="G291" s="18"/>
      <c r="AA291"/>
      <c r="AB291"/>
      <c r="AC291"/>
      <c r="AD291"/>
      <c r="AE291"/>
      <c r="AF291"/>
    </row>
    <row r="292" spans="7:32">
      <c r="G292" s="18"/>
      <c r="AA292"/>
      <c r="AB292"/>
      <c r="AC292"/>
      <c r="AD292"/>
      <c r="AE292"/>
      <c r="AF292"/>
    </row>
    <row r="293" spans="7:32">
      <c r="G293" s="18"/>
      <c r="AA293"/>
      <c r="AB293"/>
      <c r="AC293"/>
      <c r="AD293"/>
      <c r="AE293"/>
      <c r="AF293"/>
    </row>
    <row r="294" spans="7:32">
      <c r="G294" s="18"/>
      <c r="AA294"/>
      <c r="AB294"/>
      <c r="AC294"/>
      <c r="AD294"/>
      <c r="AE294"/>
      <c r="AF294"/>
    </row>
    <row r="295" spans="7:32">
      <c r="G295" s="18"/>
      <c r="AA295"/>
      <c r="AB295"/>
      <c r="AC295"/>
      <c r="AD295"/>
      <c r="AE295"/>
      <c r="AF295"/>
    </row>
    <row r="296" spans="7:32">
      <c r="G296" s="18"/>
      <c r="AA296"/>
      <c r="AB296"/>
      <c r="AC296"/>
      <c r="AD296"/>
      <c r="AE296"/>
      <c r="AF296"/>
    </row>
    <row r="297" spans="7:32">
      <c r="G297" s="18"/>
      <c r="AA297"/>
      <c r="AB297"/>
      <c r="AC297"/>
      <c r="AD297"/>
      <c r="AE297"/>
      <c r="AF297"/>
    </row>
    <row r="298" spans="7:32">
      <c r="G298" s="18"/>
      <c r="AA298"/>
      <c r="AB298"/>
      <c r="AC298"/>
      <c r="AD298"/>
      <c r="AE298"/>
      <c r="AF298"/>
    </row>
    <row r="299" spans="7:32">
      <c r="G299" s="18"/>
      <c r="AA299"/>
      <c r="AB299"/>
      <c r="AC299"/>
      <c r="AD299"/>
      <c r="AE299"/>
      <c r="AF299"/>
    </row>
    <row r="300" spans="7:32">
      <c r="G300" s="18"/>
      <c r="AA300"/>
      <c r="AB300"/>
      <c r="AC300"/>
      <c r="AD300"/>
      <c r="AE300"/>
      <c r="AF300"/>
    </row>
    <row r="301" spans="7:32">
      <c r="G301" s="18"/>
      <c r="AA301"/>
      <c r="AB301"/>
      <c r="AC301"/>
      <c r="AD301"/>
      <c r="AE301"/>
      <c r="AF301"/>
    </row>
    <row r="302" spans="7:32">
      <c r="G302" s="18"/>
      <c r="AA302"/>
      <c r="AB302"/>
      <c r="AC302"/>
      <c r="AD302"/>
      <c r="AE302"/>
      <c r="AF302"/>
    </row>
    <row r="303" spans="7:32">
      <c r="G303" s="18"/>
      <c r="AA303"/>
      <c r="AB303"/>
      <c r="AC303"/>
      <c r="AD303"/>
      <c r="AE303"/>
      <c r="AF303"/>
    </row>
    <row r="304" spans="7:32">
      <c r="G304" s="18"/>
      <c r="AA304"/>
      <c r="AB304"/>
      <c r="AC304"/>
      <c r="AD304"/>
      <c r="AE304"/>
      <c r="AF304"/>
    </row>
    <row r="305" spans="7:32">
      <c r="G305" s="18"/>
      <c r="AA305"/>
      <c r="AB305"/>
      <c r="AC305"/>
      <c r="AD305"/>
      <c r="AE305"/>
      <c r="AF305"/>
    </row>
    <row r="306" spans="7:32">
      <c r="G306" s="18"/>
      <c r="AA306"/>
      <c r="AB306"/>
      <c r="AC306"/>
      <c r="AD306"/>
      <c r="AE306"/>
      <c r="AF306"/>
    </row>
    <row r="307" spans="7:32">
      <c r="G307" s="18"/>
      <c r="AA307"/>
      <c r="AB307"/>
      <c r="AC307"/>
      <c r="AD307"/>
      <c r="AE307"/>
      <c r="AF307"/>
    </row>
    <row r="308" spans="7:32">
      <c r="G308" s="18"/>
      <c r="AA308"/>
      <c r="AB308"/>
      <c r="AC308"/>
      <c r="AD308"/>
      <c r="AE308"/>
      <c r="AF308"/>
    </row>
    <row r="309" spans="7:32">
      <c r="G309" s="18"/>
      <c r="AA309"/>
      <c r="AB309"/>
      <c r="AC309"/>
      <c r="AD309"/>
      <c r="AE309"/>
      <c r="AF309"/>
    </row>
    <row r="310" spans="7:32">
      <c r="G310" s="18"/>
      <c r="AA310"/>
      <c r="AB310"/>
      <c r="AC310"/>
      <c r="AD310"/>
      <c r="AE310"/>
      <c r="AF310"/>
    </row>
    <row r="311" spans="7:32">
      <c r="G311" s="18"/>
      <c r="AA311"/>
      <c r="AB311"/>
      <c r="AC311"/>
      <c r="AD311"/>
      <c r="AE311"/>
      <c r="AF311"/>
    </row>
    <row r="312" spans="7:32">
      <c r="G312" s="18"/>
      <c r="AA312"/>
      <c r="AB312"/>
      <c r="AC312"/>
      <c r="AD312"/>
      <c r="AE312"/>
      <c r="AF312"/>
    </row>
    <row r="313" spans="7:32">
      <c r="G313" s="18"/>
      <c r="AA313"/>
      <c r="AB313"/>
      <c r="AC313"/>
      <c r="AD313"/>
      <c r="AE313"/>
      <c r="AF313"/>
    </row>
    <row r="314" spans="7:32">
      <c r="G314" s="18"/>
      <c r="AA314"/>
      <c r="AB314"/>
      <c r="AC314"/>
      <c r="AD314"/>
      <c r="AE314"/>
      <c r="AF314"/>
    </row>
    <row r="315" spans="7:32">
      <c r="G315" s="18"/>
      <c r="AA315"/>
      <c r="AB315"/>
      <c r="AC315"/>
      <c r="AD315"/>
      <c r="AE315"/>
      <c r="AF315"/>
    </row>
    <row r="316" spans="7:32">
      <c r="G316" s="18"/>
      <c r="AA316"/>
      <c r="AB316"/>
      <c r="AC316"/>
      <c r="AD316"/>
      <c r="AE316"/>
      <c r="AF316"/>
    </row>
    <row r="317" spans="7:32">
      <c r="G317" s="18"/>
      <c r="AA317"/>
      <c r="AB317"/>
      <c r="AC317"/>
      <c r="AD317"/>
      <c r="AE317"/>
      <c r="AF317"/>
    </row>
    <row r="318" spans="7:32">
      <c r="G318" s="18"/>
      <c r="AA318"/>
      <c r="AB318"/>
      <c r="AC318"/>
      <c r="AD318"/>
      <c r="AE318"/>
      <c r="AF318"/>
    </row>
    <row r="319" spans="7:32">
      <c r="G319" s="18"/>
      <c r="AA319"/>
      <c r="AB319"/>
      <c r="AC319"/>
      <c r="AD319"/>
      <c r="AE319"/>
      <c r="AF319"/>
    </row>
    <row r="320" spans="7:32">
      <c r="G320" s="18"/>
      <c r="AA320"/>
      <c r="AB320"/>
      <c r="AC320"/>
      <c r="AD320"/>
      <c r="AE320"/>
      <c r="AF320"/>
    </row>
    <row r="321" spans="7:32">
      <c r="G321" s="18"/>
      <c r="AA321"/>
      <c r="AB321"/>
      <c r="AC321"/>
      <c r="AD321"/>
      <c r="AE321"/>
      <c r="AF321"/>
    </row>
    <row r="322" spans="7:32">
      <c r="G322" s="18"/>
      <c r="AA322"/>
      <c r="AB322"/>
      <c r="AC322"/>
      <c r="AD322"/>
      <c r="AE322"/>
      <c r="AF322"/>
    </row>
    <row r="323" spans="7:32">
      <c r="G323" s="18"/>
      <c r="AA323"/>
      <c r="AB323"/>
      <c r="AC323"/>
      <c r="AD323"/>
      <c r="AE323"/>
      <c r="AF323"/>
    </row>
    <row r="324" spans="7:32">
      <c r="G324" s="18"/>
      <c r="AA324"/>
      <c r="AB324"/>
      <c r="AC324"/>
      <c r="AD324"/>
      <c r="AE324"/>
      <c r="AF324"/>
    </row>
    <row r="325" spans="7:32">
      <c r="G325" s="18"/>
      <c r="AA325"/>
      <c r="AB325"/>
      <c r="AC325"/>
      <c r="AD325"/>
      <c r="AE325"/>
      <c r="AF325"/>
    </row>
    <row r="326" spans="7:32">
      <c r="G326" s="18"/>
      <c r="AA326"/>
      <c r="AB326"/>
      <c r="AC326"/>
      <c r="AD326"/>
      <c r="AE326"/>
      <c r="AF326"/>
    </row>
    <row r="327" spans="7:32">
      <c r="G327" s="18"/>
      <c r="AA327"/>
      <c r="AB327"/>
      <c r="AC327"/>
      <c r="AD327"/>
      <c r="AE327"/>
      <c r="AF327"/>
    </row>
    <row r="328" spans="7:32">
      <c r="G328" s="18"/>
      <c r="AA328"/>
      <c r="AB328"/>
      <c r="AC328"/>
      <c r="AD328"/>
      <c r="AE328"/>
      <c r="AF328"/>
    </row>
    <row r="329" spans="7:32">
      <c r="G329" s="18"/>
      <c r="AA329"/>
      <c r="AB329"/>
      <c r="AC329"/>
      <c r="AD329"/>
      <c r="AE329"/>
      <c r="AF329"/>
    </row>
    <row r="330" spans="7:32">
      <c r="G330" s="18"/>
      <c r="AA330"/>
      <c r="AB330"/>
      <c r="AC330"/>
      <c r="AD330"/>
      <c r="AE330"/>
      <c r="AF330"/>
    </row>
    <row r="331" spans="7:32">
      <c r="G331" s="18"/>
      <c r="AA331"/>
      <c r="AB331"/>
      <c r="AC331"/>
      <c r="AD331"/>
      <c r="AE331"/>
      <c r="AF331"/>
    </row>
    <row r="332" spans="7:32">
      <c r="G332" s="18"/>
      <c r="AA332"/>
      <c r="AB332"/>
      <c r="AC332"/>
      <c r="AD332"/>
      <c r="AE332"/>
      <c r="AF332"/>
    </row>
    <row r="333" spans="7:32">
      <c r="G333" s="18"/>
      <c r="AA333"/>
      <c r="AB333"/>
      <c r="AC333"/>
      <c r="AD333"/>
      <c r="AE333"/>
      <c r="AF333"/>
    </row>
    <row r="334" spans="7:32">
      <c r="G334" s="18"/>
      <c r="AA334"/>
      <c r="AB334"/>
      <c r="AC334"/>
      <c r="AD334"/>
      <c r="AE334"/>
      <c r="AF334"/>
    </row>
    <row r="335" spans="7:32">
      <c r="G335" s="18"/>
      <c r="AA335"/>
      <c r="AB335"/>
      <c r="AC335"/>
      <c r="AD335"/>
      <c r="AE335"/>
      <c r="AF335"/>
    </row>
    <row r="336" spans="7:32">
      <c r="G336" s="18"/>
      <c r="AA336"/>
      <c r="AB336"/>
      <c r="AC336"/>
      <c r="AD336"/>
      <c r="AE336"/>
      <c r="AF336"/>
    </row>
    <row r="337" spans="7:32">
      <c r="G337" s="18"/>
      <c r="AA337"/>
      <c r="AB337"/>
      <c r="AC337"/>
      <c r="AD337"/>
      <c r="AE337"/>
      <c r="AF337"/>
    </row>
    <row r="338" spans="7:32">
      <c r="G338" s="18"/>
      <c r="AA338"/>
      <c r="AB338"/>
      <c r="AC338"/>
      <c r="AD338"/>
      <c r="AE338"/>
      <c r="AF338"/>
    </row>
    <row r="339" spans="7:32">
      <c r="G339" s="18"/>
      <c r="AA339"/>
      <c r="AB339"/>
      <c r="AC339"/>
      <c r="AD339"/>
      <c r="AE339"/>
      <c r="AF339"/>
    </row>
    <row r="340" spans="7:32">
      <c r="G340" s="18"/>
      <c r="AA340"/>
      <c r="AB340"/>
      <c r="AC340"/>
      <c r="AD340"/>
      <c r="AE340"/>
      <c r="AF340"/>
    </row>
    <row r="341" spans="7:32">
      <c r="G341" s="18"/>
      <c r="AA341"/>
      <c r="AB341"/>
      <c r="AC341"/>
      <c r="AD341"/>
      <c r="AE341"/>
      <c r="AF341"/>
    </row>
    <row r="342" spans="7:32">
      <c r="G342" s="18"/>
      <c r="AA342"/>
      <c r="AB342"/>
      <c r="AC342"/>
      <c r="AD342"/>
      <c r="AE342"/>
      <c r="AF342"/>
    </row>
    <row r="343" spans="7:32">
      <c r="G343" s="18"/>
      <c r="AA343"/>
      <c r="AB343"/>
      <c r="AC343"/>
      <c r="AD343"/>
      <c r="AE343"/>
      <c r="AF343"/>
    </row>
    <row r="344" spans="7:32">
      <c r="G344" s="18"/>
      <c r="AA344"/>
      <c r="AB344"/>
      <c r="AC344"/>
      <c r="AD344"/>
      <c r="AE344"/>
      <c r="AF344"/>
    </row>
    <row r="345" spans="7:32">
      <c r="G345" s="18"/>
      <c r="AA345"/>
      <c r="AB345"/>
      <c r="AC345"/>
      <c r="AD345"/>
      <c r="AE345"/>
      <c r="AF345"/>
    </row>
    <row r="346" spans="7:32">
      <c r="G346" s="18"/>
      <c r="AA346"/>
      <c r="AB346"/>
      <c r="AC346"/>
      <c r="AD346"/>
      <c r="AE346"/>
      <c r="AF346"/>
    </row>
    <row r="347" spans="7:32">
      <c r="G347" s="18"/>
      <c r="AA347"/>
      <c r="AB347"/>
      <c r="AC347"/>
      <c r="AD347"/>
      <c r="AE347"/>
      <c r="AF347"/>
    </row>
    <row r="348" spans="7:32">
      <c r="G348" s="18"/>
      <c r="AA348"/>
      <c r="AB348"/>
      <c r="AC348"/>
      <c r="AD348"/>
      <c r="AE348"/>
      <c r="AF348"/>
    </row>
    <row r="349" spans="7:32">
      <c r="G349" s="18"/>
      <c r="AA349"/>
      <c r="AB349"/>
      <c r="AC349"/>
      <c r="AD349"/>
      <c r="AE349"/>
      <c r="AF349"/>
    </row>
    <row r="350" spans="7:32">
      <c r="G350" s="18"/>
      <c r="AA350"/>
      <c r="AB350"/>
      <c r="AC350"/>
      <c r="AD350"/>
      <c r="AE350"/>
      <c r="AF350"/>
    </row>
    <row r="351" spans="7:32">
      <c r="G351" s="18"/>
      <c r="AA351"/>
      <c r="AB351"/>
      <c r="AC351"/>
      <c r="AD351"/>
      <c r="AE351"/>
      <c r="AF351"/>
    </row>
    <row r="352" spans="7:32">
      <c r="G352" s="18"/>
      <c r="AA352"/>
      <c r="AB352"/>
      <c r="AC352"/>
      <c r="AD352"/>
      <c r="AE352"/>
      <c r="AF352"/>
    </row>
    <row r="353" spans="7:32">
      <c r="G353" s="18"/>
      <c r="AA353"/>
      <c r="AB353"/>
      <c r="AC353"/>
      <c r="AD353"/>
      <c r="AE353"/>
      <c r="AF353"/>
    </row>
    <row r="354" spans="7:32">
      <c r="G354" s="18"/>
      <c r="AA354"/>
      <c r="AB354"/>
      <c r="AC354"/>
      <c r="AD354"/>
      <c r="AE354"/>
      <c r="AF354"/>
    </row>
    <row r="355" spans="7:32">
      <c r="G355" s="18"/>
      <c r="AA355"/>
      <c r="AB355"/>
      <c r="AC355"/>
      <c r="AD355"/>
      <c r="AE355"/>
      <c r="AF355"/>
    </row>
    <row r="356" spans="7:32">
      <c r="G356" s="18"/>
      <c r="AA356"/>
      <c r="AB356"/>
      <c r="AC356"/>
      <c r="AD356"/>
      <c r="AE356"/>
      <c r="AF356"/>
    </row>
    <row r="357" spans="7:32">
      <c r="G357" s="18"/>
      <c r="AA357"/>
      <c r="AB357"/>
      <c r="AC357"/>
      <c r="AD357"/>
      <c r="AE357"/>
      <c r="AF357"/>
    </row>
    <row r="358" spans="7:32">
      <c r="G358" s="18"/>
      <c r="AA358"/>
      <c r="AB358"/>
      <c r="AC358"/>
      <c r="AD358"/>
      <c r="AE358"/>
      <c r="AF358"/>
    </row>
    <row r="359" spans="7:32">
      <c r="G359" s="18"/>
      <c r="AA359"/>
      <c r="AB359"/>
      <c r="AC359"/>
      <c r="AD359"/>
      <c r="AE359"/>
      <c r="AF359"/>
    </row>
    <row r="360" spans="7:32">
      <c r="G360" s="18"/>
      <c r="AA360"/>
      <c r="AB360"/>
      <c r="AC360"/>
      <c r="AD360"/>
      <c r="AE360"/>
      <c r="AF360"/>
    </row>
    <row r="361" spans="7:32">
      <c r="G361" s="18"/>
      <c r="AA361"/>
      <c r="AB361"/>
      <c r="AC361"/>
      <c r="AD361"/>
      <c r="AE361"/>
      <c r="AF361"/>
    </row>
    <row r="362" spans="7:32">
      <c r="G362" s="18"/>
      <c r="AA362"/>
      <c r="AB362"/>
      <c r="AC362"/>
      <c r="AD362"/>
      <c r="AE362"/>
      <c r="AF362"/>
    </row>
    <row r="363" spans="7:32">
      <c r="G363" s="18"/>
      <c r="AA363"/>
      <c r="AB363"/>
      <c r="AC363"/>
      <c r="AD363"/>
      <c r="AE363"/>
      <c r="AF363"/>
    </row>
    <row r="364" spans="7:32">
      <c r="G364" s="18"/>
      <c r="AA364"/>
      <c r="AB364"/>
      <c r="AC364"/>
      <c r="AD364"/>
      <c r="AE364"/>
      <c r="AF364"/>
    </row>
    <row r="365" spans="7:32">
      <c r="G365" s="18"/>
      <c r="AA365"/>
      <c r="AB365"/>
      <c r="AC365"/>
      <c r="AD365"/>
      <c r="AE365"/>
      <c r="AF365"/>
    </row>
    <row r="366" spans="7:32">
      <c r="G366" s="18"/>
      <c r="AA366"/>
      <c r="AB366"/>
      <c r="AC366"/>
      <c r="AD366"/>
      <c r="AE366"/>
      <c r="AF366"/>
    </row>
    <row r="367" spans="7:32">
      <c r="G367" s="18"/>
      <c r="AA367"/>
      <c r="AB367"/>
      <c r="AC367"/>
      <c r="AD367"/>
      <c r="AE367"/>
      <c r="AF367"/>
    </row>
    <row r="368" spans="7:32">
      <c r="G368" s="18"/>
      <c r="AA368"/>
      <c r="AB368"/>
      <c r="AC368"/>
      <c r="AD368"/>
      <c r="AE368"/>
      <c r="AF368"/>
    </row>
    <row r="369" spans="7:32">
      <c r="G369" s="18"/>
      <c r="AA369"/>
      <c r="AB369"/>
      <c r="AC369"/>
      <c r="AD369"/>
      <c r="AE369"/>
      <c r="AF369"/>
    </row>
    <row r="370" spans="7:32">
      <c r="G370" s="18"/>
      <c r="AA370"/>
      <c r="AB370"/>
      <c r="AC370"/>
      <c r="AD370"/>
      <c r="AE370"/>
      <c r="AF370"/>
    </row>
    <row r="371" spans="7:32">
      <c r="G371" s="18"/>
      <c r="AA371"/>
      <c r="AB371"/>
      <c r="AC371"/>
      <c r="AD371"/>
      <c r="AE371"/>
      <c r="AF371"/>
    </row>
    <row r="372" spans="7:32">
      <c r="G372" s="18"/>
      <c r="AA372"/>
      <c r="AB372"/>
      <c r="AC372"/>
      <c r="AD372"/>
      <c r="AE372"/>
      <c r="AF372"/>
    </row>
    <row r="373" spans="7:32">
      <c r="G373" s="18"/>
      <c r="AA373"/>
      <c r="AB373"/>
      <c r="AC373"/>
      <c r="AD373"/>
      <c r="AE373"/>
      <c r="AF373"/>
    </row>
    <row r="374" spans="7:32">
      <c r="G374" s="18"/>
      <c r="AA374"/>
      <c r="AB374"/>
      <c r="AC374"/>
      <c r="AD374"/>
      <c r="AE374"/>
      <c r="AF374"/>
    </row>
    <row r="375" spans="7:32">
      <c r="G375" s="18"/>
      <c r="AA375"/>
      <c r="AB375"/>
      <c r="AC375"/>
      <c r="AD375"/>
      <c r="AE375"/>
      <c r="AF375"/>
    </row>
    <row r="376" spans="7:32">
      <c r="G376" s="18"/>
      <c r="AA376"/>
      <c r="AB376"/>
      <c r="AC376"/>
      <c r="AD376"/>
      <c r="AE376"/>
      <c r="AF376"/>
    </row>
    <row r="377" spans="7:32">
      <c r="G377" s="18"/>
      <c r="AA377"/>
      <c r="AB377"/>
      <c r="AC377"/>
      <c r="AD377"/>
      <c r="AE377"/>
      <c r="AF377"/>
    </row>
    <row r="378" spans="7:32">
      <c r="G378" s="18"/>
      <c r="AA378"/>
      <c r="AB378"/>
      <c r="AC378"/>
      <c r="AD378"/>
      <c r="AE378"/>
      <c r="AF378"/>
    </row>
    <row r="379" spans="7:32">
      <c r="G379" s="18"/>
      <c r="AA379"/>
      <c r="AB379"/>
      <c r="AC379"/>
      <c r="AD379"/>
      <c r="AE379"/>
      <c r="AF379"/>
    </row>
    <row r="380" spans="7:32">
      <c r="G380" s="18"/>
      <c r="AA380"/>
      <c r="AB380"/>
      <c r="AC380"/>
      <c r="AD380"/>
      <c r="AE380"/>
      <c r="AF380"/>
    </row>
    <row r="381" spans="7:32">
      <c r="G381" s="18"/>
      <c r="AA381"/>
      <c r="AB381"/>
      <c r="AC381"/>
      <c r="AD381"/>
      <c r="AE381"/>
      <c r="AF381"/>
    </row>
    <row r="382" spans="7:32">
      <c r="G382" s="18"/>
      <c r="AA382"/>
      <c r="AB382"/>
      <c r="AC382"/>
      <c r="AD382"/>
      <c r="AE382"/>
      <c r="AF382"/>
    </row>
    <row r="383" spans="7:32">
      <c r="G383" s="18"/>
      <c r="AA383"/>
      <c r="AB383"/>
      <c r="AC383"/>
      <c r="AD383"/>
      <c r="AE383"/>
      <c r="AF383"/>
    </row>
    <row r="384" spans="7:32">
      <c r="G384" s="18"/>
      <c r="AA384"/>
      <c r="AB384"/>
      <c r="AC384"/>
      <c r="AD384"/>
      <c r="AE384"/>
      <c r="AF384"/>
    </row>
    <row r="385" spans="7:32">
      <c r="G385" s="18"/>
      <c r="AA385"/>
      <c r="AB385"/>
      <c r="AC385"/>
      <c r="AD385"/>
      <c r="AE385"/>
      <c r="AF385"/>
    </row>
    <row r="386" spans="7:32">
      <c r="G386" s="18"/>
      <c r="AA386"/>
      <c r="AB386"/>
      <c r="AC386"/>
      <c r="AD386"/>
      <c r="AE386"/>
      <c r="AF386"/>
    </row>
    <row r="387" spans="7:32">
      <c r="G387" s="18"/>
      <c r="AA387"/>
      <c r="AB387"/>
      <c r="AC387"/>
      <c r="AD387"/>
      <c r="AE387"/>
      <c r="AF387"/>
    </row>
    <row r="388" spans="7:32">
      <c r="G388" s="18"/>
      <c r="AA388"/>
      <c r="AB388"/>
      <c r="AC388"/>
      <c r="AD388"/>
      <c r="AE388"/>
      <c r="AF388"/>
    </row>
    <row r="389" spans="7:32">
      <c r="G389" s="18"/>
      <c r="AA389"/>
      <c r="AB389"/>
      <c r="AC389"/>
      <c r="AD389"/>
      <c r="AE389"/>
      <c r="AF389"/>
    </row>
    <row r="390" spans="7:32">
      <c r="G390" s="18"/>
      <c r="AA390"/>
      <c r="AB390"/>
      <c r="AC390"/>
      <c r="AD390"/>
      <c r="AE390"/>
      <c r="AF390"/>
    </row>
    <row r="391" spans="7:32">
      <c r="G391" s="18"/>
      <c r="AA391"/>
      <c r="AB391"/>
      <c r="AC391"/>
      <c r="AD391"/>
      <c r="AE391"/>
      <c r="AF391"/>
    </row>
    <row r="392" spans="7:32">
      <c r="G392" s="18"/>
      <c r="AA392"/>
      <c r="AB392"/>
      <c r="AC392"/>
      <c r="AD392"/>
      <c r="AE392"/>
      <c r="AF392"/>
    </row>
    <row r="393" spans="7:32">
      <c r="G393" s="18"/>
      <c r="AA393"/>
      <c r="AB393"/>
      <c r="AC393"/>
      <c r="AD393"/>
      <c r="AE393"/>
      <c r="AF393"/>
    </row>
    <row r="394" spans="7:32">
      <c r="G394" s="18"/>
      <c r="AA394"/>
      <c r="AB394"/>
      <c r="AC394"/>
      <c r="AD394"/>
      <c r="AE394"/>
      <c r="AF394"/>
    </row>
    <row r="395" spans="7:32">
      <c r="G395" s="18"/>
      <c r="AA395"/>
      <c r="AB395"/>
      <c r="AC395"/>
      <c r="AD395"/>
      <c r="AE395"/>
      <c r="AF395"/>
    </row>
    <row r="396" spans="7:32">
      <c r="G396" s="18"/>
      <c r="AA396"/>
      <c r="AB396"/>
      <c r="AC396"/>
      <c r="AD396"/>
      <c r="AE396"/>
      <c r="AF396"/>
    </row>
    <row r="397" spans="7:32">
      <c r="G397" s="18"/>
      <c r="AA397"/>
      <c r="AB397"/>
      <c r="AC397"/>
      <c r="AD397"/>
      <c r="AE397"/>
      <c r="AF397"/>
    </row>
    <row r="398" spans="7:32">
      <c r="G398" s="18"/>
      <c r="AA398"/>
      <c r="AB398"/>
      <c r="AC398"/>
      <c r="AD398"/>
      <c r="AE398"/>
      <c r="AF398"/>
    </row>
    <row r="399" spans="7:32">
      <c r="G399" s="18"/>
      <c r="AA399"/>
      <c r="AB399"/>
      <c r="AC399"/>
      <c r="AD399"/>
      <c r="AE399"/>
      <c r="AF399"/>
    </row>
    <row r="400" spans="7:32">
      <c r="G400" s="18"/>
      <c r="AA400"/>
      <c r="AB400"/>
      <c r="AC400"/>
      <c r="AD400"/>
      <c r="AE400"/>
      <c r="AF400"/>
    </row>
    <row r="401" spans="7:32">
      <c r="G401" s="18"/>
      <c r="AA401"/>
      <c r="AB401"/>
      <c r="AC401"/>
      <c r="AD401"/>
      <c r="AE401"/>
      <c r="AF401"/>
    </row>
    <row r="402" spans="7:32">
      <c r="G402" s="18"/>
      <c r="AA402"/>
      <c r="AB402"/>
      <c r="AC402"/>
      <c r="AD402"/>
      <c r="AE402"/>
      <c r="AF402"/>
    </row>
    <row r="403" spans="7:32">
      <c r="G403" s="18"/>
      <c r="AA403"/>
      <c r="AB403"/>
      <c r="AC403"/>
      <c r="AD403"/>
      <c r="AE403"/>
      <c r="AF403"/>
    </row>
    <row r="404" spans="7:32">
      <c r="G404" s="18"/>
      <c r="AA404"/>
      <c r="AB404"/>
      <c r="AC404"/>
      <c r="AD404"/>
      <c r="AE404"/>
      <c r="AF404"/>
    </row>
    <row r="405" spans="7:32">
      <c r="G405" s="18"/>
      <c r="AA405"/>
      <c r="AB405"/>
      <c r="AC405"/>
      <c r="AD405"/>
      <c r="AE405"/>
      <c r="AF405"/>
    </row>
    <row r="406" spans="7:32">
      <c r="G406" s="18"/>
      <c r="AA406"/>
      <c r="AB406"/>
      <c r="AC406"/>
      <c r="AD406"/>
      <c r="AE406"/>
      <c r="AF406"/>
    </row>
    <row r="407" spans="7:32">
      <c r="G407" s="18"/>
      <c r="AA407"/>
      <c r="AB407"/>
      <c r="AC407"/>
      <c r="AD407"/>
      <c r="AE407"/>
      <c r="AF407"/>
    </row>
    <row r="408" spans="7:32">
      <c r="G408" s="18"/>
      <c r="AA408"/>
      <c r="AB408"/>
      <c r="AC408"/>
      <c r="AD408"/>
      <c r="AE408"/>
      <c r="AF408"/>
    </row>
    <row r="409" spans="7:32">
      <c r="G409" s="18"/>
      <c r="AA409"/>
      <c r="AB409"/>
      <c r="AC409"/>
      <c r="AD409"/>
      <c r="AE409"/>
      <c r="AF409"/>
    </row>
    <row r="410" spans="7:32">
      <c r="G410" s="18"/>
      <c r="AA410"/>
      <c r="AB410"/>
      <c r="AC410"/>
      <c r="AD410"/>
      <c r="AE410"/>
      <c r="AF410"/>
    </row>
    <row r="411" spans="7:32">
      <c r="G411" s="18"/>
      <c r="AA411"/>
      <c r="AB411"/>
      <c r="AC411"/>
      <c r="AD411"/>
      <c r="AE411"/>
      <c r="AF411"/>
    </row>
    <row r="412" spans="7:32">
      <c r="G412" s="18"/>
      <c r="AA412"/>
      <c r="AB412"/>
      <c r="AC412"/>
      <c r="AD412"/>
      <c r="AE412"/>
      <c r="AF412"/>
    </row>
    <row r="413" spans="7:32">
      <c r="G413" s="18"/>
      <c r="AA413"/>
      <c r="AB413"/>
      <c r="AC413"/>
      <c r="AD413"/>
      <c r="AE413"/>
      <c r="AF413"/>
    </row>
    <row r="414" spans="7:32">
      <c r="G414" s="18"/>
      <c r="AA414"/>
      <c r="AB414"/>
      <c r="AC414"/>
      <c r="AD414"/>
      <c r="AE414"/>
      <c r="AF414"/>
    </row>
    <row r="415" spans="7:32">
      <c r="G415" s="18"/>
      <c r="AA415"/>
      <c r="AB415"/>
      <c r="AC415"/>
      <c r="AD415"/>
      <c r="AE415"/>
      <c r="AF415"/>
    </row>
    <row r="416" spans="7:32">
      <c r="G416" s="18"/>
      <c r="AA416"/>
      <c r="AB416"/>
      <c r="AC416"/>
      <c r="AD416"/>
      <c r="AE416"/>
      <c r="AF416"/>
    </row>
    <row r="417" spans="7:32">
      <c r="G417" s="18"/>
      <c r="AA417"/>
      <c r="AB417"/>
      <c r="AC417"/>
      <c r="AD417"/>
      <c r="AE417"/>
      <c r="AF417"/>
    </row>
    <row r="418" spans="7:32">
      <c r="G418" s="18"/>
      <c r="AA418"/>
      <c r="AB418"/>
      <c r="AC418"/>
      <c r="AD418"/>
      <c r="AE418"/>
      <c r="AF418"/>
    </row>
    <row r="419" spans="7:32">
      <c r="G419" s="18"/>
      <c r="AA419"/>
      <c r="AB419"/>
      <c r="AC419"/>
      <c r="AD419"/>
      <c r="AE419"/>
      <c r="AF419"/>
    </row>
    <row r="420" spans="7:32">
      <c r="G420" s="18"/>
      <c r="AA420"/>
      <c r="AB420"/>
      <c r="AC420"/>
      <c r="AD420"/>
      <c r="AE420"/>
      <c r="AF420"/>
    </row>
    <row r="421" spans="7:32">
      <c r="G421" s="18"/>
      <c r="AA421"/>
      <c r="AB421"/>
      <c r="AC421"/>
      <c r="AD421"/>
      <c r="AE421"/>
      <c r="AF421"/>
    </row>
    <row r="422" spans="7:32">
      <c r="G422" s="18"/>
      <c r="AA422"/>
      <c r="AB422"/>
      <c r="AC422"/>
      <c r="AD422"/>
      <c r="AE422"/>
      <c r="AF422"/>
    </row>
    <row r="423" spans="7:32">
      <c r="G423" s="18"/>
      <c r="AA423"/>
      <c r="AB423"/>
      <c r="AC423"/>
      <c r="AD423"/>
      <c r="AE423"/>
      <c r="AF423"/>
    </row>
    <row r="424" spans="7:32">
      <c r="G424" s="18"/>
      <c r="AA424"/>
      <c r="AB424"/>
      <c r="AC424"/>
      <c r="AD424"/>
      <c r="AE424"/>
      <c r="AF424"/>
    </row>
    <row r="425" spans="7:32">
      <c r="G425" s="18"/>
      <c r="AA425"/>
      <c r="AB425"/>
      <c r="AC425"/>
      <c r="AD425"/>
      <c r="AE425"/>
      <c r="AF425"/>
    </row>
    <row r="426" spans="7:32">
      <c r="G426" s="18"/>
      <c r="AA426"/>
      <c r="AB426"/>
      <c r="AC426"/>
      <c r="AD426"/>
      <c r="AE426"/>
      <c r="AF426"/>
    </row>
    <row r="427" spans="7:32">
      <c r="G427" s="18"/>
      <c r="AA427"/>
      <c r="AB427"/>
      <c r="AC427"/>
      <c r="AD427"/>
      <c r="AE427"/>
      <c r="AF427"/>
    </row>
    <row r="428" spans="7:32">
      <c r="G428" s="18"/>
      <c r="AA428"/>
      <c r="AB428"/>
      <c r="AC428"/>
      <c r="AD428"/>
      <c r="AE428"/>
      <c r="AF428"/>
    </row>
    <row r="429" spans="7:32">
      <c r="G429" s="18"/>
      <c r="AA429"/>
      <c r="AB429"/>
      <c r="AC429"/>
      <c r="AD429"/>
      <c r="AE429"/>
      <c r="AF429"/>
    </row>
    <row r="430" spans="7:32">
      <c r="G430" s="18"/>
      <c r="AA430"/>
      <c r="AB430"/>
      <c r="AC430"/>
      <c r="AD430"/>
      <c r="AE430"/>
      <c r="AF430"/>
    </row>
    <row r="431" spans="7:32">
      <c r="G431" s="18"/>
      <c r="AA431"/>
      <c r="AB431"/>
      <c r="AC431"/>
      <c r="AD431"/>
      <c r="AE431"/>
      <c r="AF431"/>
    </row>
    <row r="432" spans="7:32">
      <c r="G432" s="18"/>
      <c r="AA432"/>
      <c r="AB432"/>
      <c r="AC432"/>
      <c r="AD432"/>
      <c r="AE432"/>
      <c r="AF432"/>
    </row>
    <row r="433" spans="7:32">
      <c r="G433" s="18"/>
      <c r="AA433"/>
      <c r="AB433"/>
      <c r="AC433"/>
      <c r="AD433"/>
      <c r="AE433"/>
      <c r="AF433"/>
    </row>
    <row r="434" spans="7:32">
      <c r="G434" s="18"/>
      <c r="AA434"/>
      <c r="AB434"/>
      <c r="AC434"/>
      <c r="AD434"/>
      <c r="AE434"/>
      <c r="AF434"/>
    </row>
    <row r="435" spans="7:32">
      <c r="G435" s="18"/>
      <c r="AA435"/>
      <c r="AB435"/>
      <c r="AC435"/>
      <c r="AD435"/>
      <c r="AE435"/>
      <c r="AF435"/>
    </row>
    <row r="436" spans="7:32">
      <c r="G436" s="18"/>
      <c r="AA436"/>
      <c r="AB436"/>
      <c r="AC436"/>
      <c r="AD436"/>
      <c r="AE436"/>
      <c r="AF436"/>
    </row>
    <row r="437" spans="7:32">
      <c r="G437" s="18"/>
      <c r="AA437"/>
      <c r="AB437"/>
      <c r="AC437"/>
      <c r="AD437"/>
      <c r="AE437"/>
      <c r="AF437"/>
    </row>
    <row r="438" spans="7:32">
      <c r="G438" s="18"/>
      <c r="AA438"/>
      <c r="AB438"/>
      <c r="AC438"/>
      <c r="AD438"/>
      <c r="AE438"/>
      <c r="AF438"/>
    </row>
    <row r="439" spans="7:32">
      <c r="G439" s="18"/>
      <c r="AA439"/>
      <c r="AB439"/>
      <c r="AC439"/>
      <c r="AD439"/>
      <c r="AE439"/>
      <c r="AF439"/>
    </row>
    <row r="440" spans="7:32">
      <c r="G440" s="18"/>
      <c r="AA440"/>
      <c r="AB440"/>
      <c r="AC440"/>
      <c r="AD440"/>
      <c r="AE440"/>
      <c r="AF440"/>
    </row>
    <row r="441" spans="7:32">
      <c r="G441" s="18"/>
      <c r="AA441"/>
      <c r="AB441"/>
      <c r="AC441"/>
      <c r="AD441"/>
      <c r="AE441"/>
      <c r="AF441"/>
    </row>
    <row r="442" spans="7:32">
      <c r="G442" s="18"/>
      <c r="AA442"/>
      <c r="AB442"/>
      <c r="AC442"/>
      <c r="AD442"/>
      <c r="AE442"/>
      <c r="AF442"/>
    </row>
    <row r="443" spans="7:32">
      <c r="G443" s="18"/>
      <c r="AA443"/>
      <c r="AB443"/>
      <c r="AC443"/>
      <c r="AD443"/>
      <c r="AE443"/>
      <c r="AF443"/>
    </row>
    <row r="444" spans="7:32">
      <c r="G444" s="18"/>
      <c r="AA444"/>
      <c r="AB444"/>
      <c r="AC444"/>
      <c r="AD444"/>
      <c r="AE444"/>
      <c r="AF444"/>
    </row>
    <row r="445" spans="7:32">
      <c r="G445" s="18"/>
      <c r="AA445"/>
      <c r="AB445"/>
      <c r="AC445"/>
      <c r="AD445"/>
      <c r="AE445"/>
      <c r="AF445"/>
    </row>
    <row r="446" spans="7:32">
      <c r="G446" s="18"/>
      <c r="AA446"/>
      <c r="AB446"/>
      <c r="AC446"/>
      <c r="AD446"/>
      <c r="AE446"/>
      <c r="AF446"/>
    </row>
    <row r="447" spans="7:32">
      <c r="G447" s="18"/>
      <c r="AA447"/>
      <c r="AB447"/>
      <c r="AC447"/>
      <c r="AD447"/>
      <c r="AE447"/>
      <c r="AF447"/>
    </row>
    <row r="448" spans="7:32">
      <c r="G448" s="18"/>
      <c r="AA448"/>
      <c r="AB448"/>
      <c r="AC448"/>
      <c r="AD448"/>
      <c r="AE448"/>
      <c r="AF448"/>
    </row>
    <row r="449" spans="7:32">
      <c r="G449" s="18"/>
      <c r="AA449"/>
      <c r="AB449"/>
      <c r="AC449"/>
      <c r="AD449"/>
      <c r="AE449"/>
      <c r="AF449"/>
    </row>
    <row r="450" spans="7:32">
      <c r="G450" s="18"/>
      <c r="AA450"/>
      <c r="AB450"/>
      <c r="AC450"/>
      <c r="AD450"/>
      <c r="AE450"/>
      <c r="AF450"/>
    </row>
    <row r="451" spans="7:32">
      <c r="G451" s="18"/>
      <c r="AA451"/>
      <c r="AB451"/>
      <c r="AC451"/>
      <c r="AD451"/>
      <c r="AE451"/>
      <c r="AF451"/>
    </row>
    <row r="452" spans="7:32">
      <c r="G452" s="18"/>
      <c r="AA452"/>
      <c r="AB452"/>
      <c r="AC452"/>
      <c r="AD452"/>
      <c r="AE452"/>
      <c r="AF452"/>
    </row>
    <row r="453" spans="7:32">
      <c r="G453" s="18"/>
      <c r="AA453"/>
      <c r="AB453"/>
      <c r="AC453"/>
      <c r="AD453"/>
      <c r="AE453"/>
      <c r="AF453"/>
    </row>
    <row r="454" spans="7:32">
      <c r="G454" s="18"/>
      <c r="AA454"/>
      <c r="AB454"/>
      <c r="AC454"/>
      <c r="AD454"/>
      <c r="AE454"/>
      <c r="AF454"/>
    </row>
    <row r="455" spans="7:32">
      <c r="G455" s="18"/>
      <c r="AA455"/>
      <c r="AB455"/>
      <c r="AC455"/>
      <c r="AD455"/>
      <c r="AE455"/>
      <c r="AF455"/>
    </row>
    <row r="456" spans="7:32">
      <c r="G456" s="18"/>
      <c r="AA456"/>
      <c r="AB456"/>
      <c r="AC456"/>
      <c r="AD456"/>
      <c r="AE456"/>
      <c r="AF456"/>
    </row>
    <row r="457" spans="7:32">
      <c r="G457" s="18"/>
      <c r="AA457"/>
      <c r="AB457"/>
      <c r="AC457"/>
      <c r="AD457"/>
      <c r="AE457"/>
      <c r="AF457"/>
    </row>
    <row r="458" spans="7:32">
      <c r="G458" s="18"/>
      <c r="AA458"/>
      <c r="AB458"/>
      <c r="AC458"/>
      <c r="AD458"/>
      <c r="AE458"/>
      <c r="AF458"/>
    </row>
    <row r="459" spans="7:32">
      <c r="G459" s="18"/>
      <c r="AA459"/>
      <c r="AB459"/>
      <c r="AC459"/>
      <c r="AD459"/>
      <c r="AE459"/>
      <c r="AF459"/>
    </row>
    <row r="460" spans="7:32">
      <c r="G460" s="18"/>
      <c r="AA460"/>
      <c r="AB460"/>
      <c r="AC460"/>
      <c r="AD460"/>
      <c r="AE460"/>
      <c r="AF460"/>
    </row>
    <row r="461" spans="7:32">
      <c r="G461" s="18"/>
      <c r="AA461"/>
      <c r="AB461"/>
      <c r="AC461"/>
      <c r="AD461"/>
      <c r="AE461"/>
      <c r="AF461"/>
    </row>
    <row r="462" spans="7:32">
      <c r="G462" s="18"/>
      <c r="AA462"/>
      <c r="AB462"/>
      <c r="AC462"/>
      <c r="AD462"/>
      <c r="AE462"/>
      <c r="AF462"/>
    </row>
    <row r="463" spans="7:32">
      <c r="G463" s="18"/>
      <c r="AA463"/>
      <c r="AB463"/>
      <c r="AC463"/>
      <c r="AD463"/>
      <c r="AE463"/>
      <c r="AF463"/>
    </row>
    <row r="464" spans="7:32">
      <c r="G464" s="18"/>
      <c r="AA464"/>
      <c r="AB464"/>
      <c r="AC464"/>
      <c r="AD464"/>
      <c r="AE464"/>
      <c r="AF464"/>
    </row>
    <row r="465" spans="7:32">
      <c r="G465" s="18"/>
      <c r="AA465"/>
      <c r="AB465"/>
      <c r="AC465"/>
      <c r="AD465"/>
      <c r="AE465"/>
      <c r="AF465"/>
    </row>
    <row r="466" spans="7:32">
      <c r="G466" s="18"/>
      <c r="AA466"/>
      <c r="AB466"/>
      <c r="AC466"/>
      <c r="AD466"/>
      <c r="AE466"/>
      <c r="AF466"/>
    </row>
    <row r="467" spans="7:32">
      <c r="G467" s="18"/>
      <c r="AA467"/>
      <c r="AB467"/>
      <c r="AC467"/>
      <c r="AD467"/>
      <c r="AE467"/>
      <c r="AF467"/>
    </row>
    <row r="468" spans="7:32">
      <c r="G468" s="18"/>
      <c r="AA468"/>
      <c r="AB468"/>
      <c r="AC468"/>
      <c r="AD468"/>
      <c r="AE468"/>
      <c r="AF468"/>
    </row>
    <row r="469" spans="7:32">
      <c r="G469" s="18"/>
      <c r="AA469"/>
      <c r="AB469"/>
      <c r="AC469"/>
      <c r="AD469"/>
      <c r="AE469"/>
      <c r="AF469"/>
    </row>
    <row r="470" spans="7:32">
      <c r="G470" s="18"/>
      <c r="AA470"/>
      <c r="AB470"/>
      <c r="AC470"/>
      <c r="AD470"/>
      <c r="AE470"/>
      <c r="AF470"/>
    </row>
    <row r="471" spans="7:32">
      <c r="G471" s="18"/>
      <c r="AA471"/>
      <c r="AB471"/>
      <c r="AC471"/>
      <c r="AD471"/>
      <c r="AE471"/>
      <c r="AF471"/>
    </row>
    <row r="472" spans="7:32">
      <c r="G472" s="18"/>
      <c r="AA472"/>
      <c r="AB472"/>
      <c r="AC472"/>
      <c r="AD472"/>
      <c r="AE472"/>
      <c r="AF472"/>
    </row>
    <row r="473" spans="7:32">
      <c r="G473" s="18"/>
      <c r="AA473"/>
      <c r="AB473"/>
      <c r="AC473"/>
      <c r="AD473"/>
      <c r="AE473"/>
      <c r="AF473"/>
    </row>
    <row r="474" spans="7:32">
      <c r="G474" s="18"/>
      <c r="AA474"/>
      <c r="AB474"/>
      <c r="AC474"/>
      <c r="AD474"/>
      <c r="AE474"/>
      <c r="AF474"/>
    </row>
    <row r="475" spans="7:32">
      <c r="G475" s="18"/>
      <c r="AA475"/>
      <c r="AB475"/>
      <c r="AC475"/>
      <c r="AD475"/>
      <c r="AE475"/>
      <c r="AF475"/>
    </row>
    <row r="476" spans="7:32">
      <c r="G476" s="18"/>
      <c r="AA476"/>
      <c r="AB476"/>
      <c r="AC476"/>
      <c r="AD476"/>
      <c r="AE476"/>
      <c r="AF476"/>
    </row>
    <row r="477" spans="7:32">
      <c r="G477" s="18"/>
      <c r="AA477"/>
      <c r="AB477"/>
      <c r="AC477"/>
      <c r="AD477"/>
      <c r="AE477"/>
      <c r="AF477"/>
    </row>
    <row r="478" spans="7:32">
      <c r="G478" s="18"/>
      <c r="AA478"/>
      <c r="AB478"/>
      <c r="AC478"/>
      <c r="AD478"/>
      <c r="AE478"/>
      <c r="AF478"/>
    </row>
    <row r="479" spans="7:32">
      <c r="G479" s="18"/>
      <c r="AA479"/>
      <c r="AB479"/>
      <c r="AC479"/>
      <c r="AD479"/>
      <c r="AE479"/>
      <c r="AF479"/>
    </row>
    <row r="480" spans="7:32">
      <c r="G480" s="18"/>
      <c r="AA480"/>
      <c r="AB480"/>
      <c r="AC480"/>
      <c r="AD480"/>
      <c r="AE480"/>
      <c r="AF480"/>
    </row>
    <row r="481" spans="7:32">
      <c r="G481" s="18"/>
      <c r="AA481"/>
      <c r="AB481"/>
      <c r="AC481"/>
      <c r="AD481"/>
      <c r="AE481"/>
      <c r="AF481"/>
    </row>
    <row r="482" spans="7:32">
      <c r="G482" s="18"/>
      <c r="AA482"/>
      <c r="AB482"/>
      <c r="AC482"/>
      <c r="AD482"/>
      <c r="AE482"/>
      <c r="AF482"/>
    </row>
    <row r="483" spans="7:32">
      <c r="G483" s="18"/>
      <c r="AA483"/>
      <c r="AB483"/>
      <c r="AC483"/>
      <c r="AD483"/>
      <c r="AE483"/>
      <c r="AF483"/>
    </row>
    <row r="484" spans="7:32">
      <c r="G484" s="18"/>
      <c r="AA484"/>
      <c r="AB484"/>
      <c r="AC484"/>
      <c r="AD484"/>
      <c r="AE484"/>
      <c r="AF484"/>
    </row>
    <row r="485" spans="7:32">
      <c r="G485" s="18"/>
      <c r="AA485"/>
      <c r="AB485"/>
      <c r="AC485"/>
      <c r="AD485"/>
      <c r="AE485"/>
      <c r="AF485"/>
    </row>
    <row r="486" spans="7:32">
      <c r="G486" s="18"/>
      <c r="AA486"/>
      <c r="AB486"/>
      <c r="AC486"/>
      <c r="AD486"/>
      <c r="AE486"/>
      <c r="AF486"/>
    </row>
    <row r="487" spans="7:32">
      <c r="G487" s="18"/>
      <c r="AA487"/>
      <c r="AB487"/>
      <c r="AC487"/>
      <c r="AD487"/>
      <c r="AE487"/>
      <c r="AF487"/>
    </row>
    <row r="488" spans="7:32">
      <c r="G488" s="18"/>
      <c r="AA488"/>
      <c r="AB488"/>
      <c r="AC488"/>
      <c r="AD488"/>
      <c r="AE488"/>
      <c r="AF488"/>
    </row>
    <row r="489" spans="7:32">
      <c r="G489" s="18"/>
      <c r="AA489"/>
      <c r="AB489"/>
      <c r="AC489"/>
      <c r="AD489"/>
      <c r="AE489"/>
      <c r="AF489"/>
    </row>
    <row r="490" spans="7:32">
      <c r="G490" s="18"/>
      <c r="AA490"/>
      <c r="AB490"/>
      <c r="AC490"/>
      <c r="AD490"/>
      <c r="AE490"/>
      <c r="AF490"/>
    </row>
    <row r="491" spans="7:32">
      <c r="G491" s="18"/>
      <c r="AA491"/>
      <c r="AB491"/>
      <c r="AC491"/>
      <c r="AD491"/>
      <c r="AE491"/>
      <c r="AF491"/>
    </row>
    <row r="492" spans="7:32">
      <c r="G492" s="18"/>
      <c r="AA492"/>
      <c r="AB492"/>
      <c r="AC492"/>
      <c r="AD492"/>
      <c r="AE492"/>
      <c r="AF492"/>
    </row>
    <row r="493" spans="7:32">
      <c r="G493" s="18"/>
      <c r="AA493"/>
      <c r="AB493"/>
      <c r="AC493"/>
      <c r="AD493"/>
      <c r="AE493"/>
      <c r="AF493"/>
    </row>
    <row r="494" spans="7:32">
      <c r="G494" s="18"/>
      <c r="AA494"/>
      <c r="AB494"/>
      <c r="AC494"/>
      <c r="AD494"/>
      <c r="AE494"/>
      <c r="AF494"/>
    </row>
    <row r="495" spans="7:32">
      <c r="G495" s="18"/>
      <c r="AA495"/>
      <c r="AB495"/>
      <c r="AC495"/>
      <c r="AD495"/>
      <c r="AE495"/>
      <c r="AF495"/>
    </row>
    <row r="496" spans="7:32">
      <c r="G496" s="18"/>
      <c r="AA496"/>
      <c r="AB496"/>
      <c r="AC496"/>
      <c r="AD496"/>
      <c r="AE496"/>
      <c r="AF496"/>
    </row>
    <row r="497" spans="7:32">
      <c r="G497" s="18"/>
      <c r="AA497"/>
      <c r="AB497"/>
      <c r="AC497"/>
      <c r="AD497"/>
      <c r="AE497"/>
      <c r="AF497"/>
    </row>
    <row r="498" spans="7:32">
      <c r="G498" s="18"/>
      <c r="AA498"/>
      <c r="AB498"/>
      <c r="AC498"/>
      <c r="AD498"/>
      <c r="AE498"/>
      <c r="AF498"/>
    </row>
    <row r="499" spans="7:32">
      <c r="G499" s="18"/>
      <c r="AA499"/>
      <c r="AB499"/>
      <c r="AC499"/>
      <c r="AD499"/>
      <c r="AE499"/>
      <c r="AF499"/>
    </row>
    <row r="500" spans="7:32">
      <c r="G500" s="18"/>
      <c r="AA500"/>
      <c r="AB500"/>
      <c r="AC500"/>
      <c r="AD500"/>
      <c r="AE500"/>
      <c r="AF500"/>
    </row>
    <row r="501" spans="7:32">
      <c r="G501" s="18"/>
      <c r="AA501"/>
      <c r="AB501"/>
      <c r="AC501"/>
      <c r="AD501"/>
      <c r="AE501"/>
      <c r="AF501"/>
    </row>
    <row r="502" spans="7:32">
      <c r="G502" s="18"/>
      <c r="AA502"/>
      <c r="AB502"/>
      <c r="AC502"/>
      <c r="AD502"/>
      <c r="AE502"/>
      <c r="AF502"/>
    </row>
    <row r="503" spans="7:32">
      <c r="G503" s="18"/>
      <c r="AA503"/>
      <c r="AB503"/>
      <c r="AC503"/>
      <c r="AD503"/>
      <c r="AE503"/>
      <c r="AF503"/>
    </row>
    <row r="504" spans="7:32">
      <c r="G504" s="18"/>
      <c r="AA504"/>
      <c r="AB504"/>
      <c r="AC504"/>
      <c r="AD504"/>
      <c r="AE504"/>
      <c r="AF504"/>
    </row>
    <row r="505" spans="7:32">
      <c r="G505" s="18"/>
      <c r="AA505"/>
      <c r="AB505"/>
      <c r="AC505"/>
      <c r="AD505"/>
      <c r="AE505"/>
      <c r="AF505"/>
    </row>
    <row r="506" spans="7:32">
      <c r="G506" s="18"/>
      <c r="AA506"/>
      <c r="AB506"/>
      <c r="AC506"/>
      <c r="AD506"/>
      <c r="AE506"/>
      <c r="AF506"/>
    </row>
    <row r="507" spans="7:32">
      <c r="G507" s="18"/>
      <c r="AA507"/>
      <c r="AB507"/>
      <c r="AC507"/>
      <c r="AD507"/>
      <c r="AE507"/>
      <c r="AF507"/>
    </row>
    <row r="508" spans="7:32">
      <c r="G508" s="18"/>
      <c r="AA508"/>
      <c r="AB508"/>
      <c r="AC508"/>
      <c r="AD508"/>
      <c r="AE508"/>
      <c r="AF508"/>
    </row>
    <row r="509" spans="7:32">
      <c r="G509" s="18"/>
      <c r="AA509"/>
      <c r="AB509"/>
      <c r="AC509"/>
      <c r="AD509"/>
      <c r="AE509"/>
      <c r="AF509"/>
    </row>
    <row r="510" spans="7:32">
      <c r="G510" s="18"/>
      <c r="AA510"/>
      <c r="AB510"/>
      <c r="AC510"/>
      <c r="AD510"/>
      <c r="AE510"/>
      <c r="AF510"/>
    </row>
    <row r="511" spans="7:32">
      <c r="G511" s="18"/>
      <c r="AA511"/>
      <c r="AB511"/>
      <c r="AC511"/>
      <c r="AD511"/>
      <c r="AE511"/>
      <c r="AF511"/>
    </row>
    <row r="512" spans="7:32">
      <c r="G512" s="18"/>
      <c r="AA512"/>
      <c r="AB512"/>
      <c r="AC512"/>
      <c r="AD512"/>
      <c r="AE512"/>
      <c r="AF512"/>
    </row>
    <row r="513" spans="7:32">
      <c r="G513" s="18"/>
      <c r="AA513"/>
      <c r="AB513"/>
      <c r="AC513"/>
      <c r="AD513"/>
      <c r="AE513"/>
      <c r="AF513"/>
    </row>
    <row r="514" spans="7:32">
      <c r="G514" s="18"/>
      <c r="AA514"/>
      <c r="AB514"/>
      <c r="AC514"/>
      <c r="AD514"/>
      <c r="AE514"/>
      <c r="AF514"/>
    </row>
    <row r="515" spans="7:32">
      <c r="G515" s="18"/>
      <c r="AA515"/>
      <c r="AB515"/>
      <c r="AC515"/>
      <c r="AD515"/>
      <c r="AE515"/>
      <c r="AF515"/>
    </row>
    <row r="516" spans="7:32">
      <c r="G516" s="18"/>
      <c r="AA516"/>
      <c r="AB516"/>
      <c r="AC516"/>
      <c r="AD516"/>
      <c r="AE516"/>
      <c r="AF516"/>
    </row>
    <row r="517" spans="7:32">
      <c r="G517" s="18"/>
      <c r="AA517"/>
      <c r="AB517"/>
      <c r="AC517"/>
      <c r="AD517"/>
      <c r="AE517"/>
      <c r="AF517"/>
    </row>
    <row r="518" spans="7:32">
      <c r="G518" s="18"/>
      <c r="AA518"/>
      <c r="AB518"/>
      <c r="AC518"/>
      <c r="AD518"/>
      <c r="AE518"/>
      <c r="AF518"/>
    </row>
    <row r="519" spans="7:32">
      <c r="G519" s="18"/>
      <c r="AA519"/>
      <c r="AB519"/>
      <c r="AC519"/>
      <c r="AD519"/>
      <c r="AE519"/>
      <c r="AF519"/>
    </row>
    <row r="520" spans="7:32">
      <c r="G520" s="18"/>
      <c r="AA520"/>
      <c r="AB520"/>
      <c r="AC520"/>
      <c r="AD520"/>
      <c r="AE520"/>
      <c r="AF520"/>
    </row>
    <row r="521" spans="7:32">
      <c r="G521" s="18"/>
      <c r="AA521"/>
      <c r="AB521"/>
      <c r="AC521"/>
      <c r="AD521"/>
      <c r="AE521"/>
      <c r="AF521"/>
    </row>
    <row r="522" spans="7:32">
      <c r="G522" s="18"/>
      <c r="AA522"/>
      <c r="AB522"/>
      <c r="AC522"/>
      <c r="AD522"/>
      <c r="AE522"/>
      <c r="AF522"/>
    </row>
    <row r="523" spans="7:32">
      <c r="G523" s="18"/>
      <c r="AA523"/>
      <c r="AB523"/>
      <c r="AC523"/>
      <c r="AD523"/>
      <c r="AE523"/>
      <c r="AF523"/>
    </row>
    <row r="524" spans="7:32">
      <c r="G524" s="18"/>
      <c r="AA524"/>
      <c r="AB524"/>
      <c r="AC524"/>
      <c r="AD524"/>
      <c r="AE524"/>
      <c r="AF524"/>
    </row>
    <row r="525" spans="7:32">
      <c r="G525" s="18"/>
      <c r="AA525"/>
      <c r="AB525"/>
      <c r="AC525"/>
      <c r="AD525"/>
      <c r="AE525"/>
      <c r="AF525"/>
    </row>
    <row r="526" spans="7:32">
      <c r="G526" s="18"/>
      <c r="AA526"/>
      <c r="AB526"/>
      <c r="AC526"/>
      <c r="AD526"/>
      <c r="AE526"/>
      <c r="AF526"/>
    </row>
    <row r="527" spans="7:32">
      <c r="G527" s="18"/>
      <c r="AA527"/>
      <c r="AB527"/>
      <c r="AC527"/>
      <c r="AD527"/>
      <c r="AE527"/>
      <c r="AF527"/>
    </row>
    <row r="528" spans="7:32">
      <c r="G528" s="18"/>
      <c r="AA528"/>
      <c r="AB528"/>
      <c r="AC528"/>
      <c r="AD528"/>
      <c r="AE528"/>
      <c r="AF528"/>
    </row>
    <row r="529" spans="7:32">
      <c r="G529" s="18"/>
      <c r="AA529"/>
      <c r="AB529"/>
      <c r="AC529"/>
      <c r="AD529"/>
      <c r="AE529"/>
      <c r="AF529"/>
    </row>
    <row r="530" spans="7:32">
      <c r="G530" s="18"/>
      <c r="AA530"/>
      <c r="AB530"/>
      <c r="AC530"/>
      <c r="AD530"/>
      <c r="AE530"/>
      <c r="AF530"/>
    </row>
    <row r="531" spans="7:32">
      <c r="G531" s="18"/>
      <c r="AA531"/>
      <c r="AB531"/>
      <c r="AC531"/>
      <c r="AD531"/>
      <c r="AE531"/>
      <c r="AF531"/>
    </row>
    <row r="532" spans="7:32">
      <c r="G532" s="18"/>
      <c r="AA532"/>
      <c r="AB532"/>
      <c r="AC532"/>
      <c r="AD532"/>
      <c r="AE532"/>
      <c r="AF532"/>
    </row>
    <row r="533" spans="7:32">
      <c r="G533" s="18"/>
      <c r="AA533"/>
      <c r="AB533"/>
      <c r="AC533"/>
      <c r="AD533"/>
      <c r="AE533"/>
      <c r="AF533"/>
    </row>
    <row r="534" spans="7:32">
      <c r="G534" s="18"/>
      <c r="AA534"/>
      <c r="AB534"/>
      <c r="AC534"/>
      <c r="AD534"/>
      <c r="AE534"/>
      <c r="AF534"/>
    </row>
    <row r="535" spans="7:32">
      <c r="G535" s="18"/>
      <c r="AA535"/>
      <c r="AB535"/>
      <c r="AC535"/>
      <c r="AD535"/>
      <c r="AE535"/>
      <c r="AF535"/>
    </row>
    <row r="536" spans="7:32">
      <c r="G536" s="18"/>
      <c r="AA536"/>
      <c r="AB536"/>
      <c r="AC536"/>
      <c r="AD536"/>
      <c r="AE536"/>
      <c r="AF536"/>
    </row>
    <row r="537" spans="7:32">
      <c r="G537" s="18"/>
      <c r="AA537"/>
      <c r="AB537"/>
      <c r="AC537"/>
      <c r="AD537"/>
      <c r="AE537"/>
      <c r="AF537"/>
    </row>
    <row r="538" spans="7:32">
      <c r="G538" s="18"/>
      <c r="AA538"/>
      <c r="AB538"/>
      <c r="AC538"/>
      <c r="AD538"/>
      <c r="AE538"/>
      <c r="AF538"/>
    </row>
    <row r="539" spans="7:32">
      <c r="G539" s="18"/>
      <c r="AA539"/>
      <c r="AB539"/>
      <c r="AC539"/>
      <c r="AD539"/>
      <c r="AE539"/>
      <c r="AF539"/>
    </row>
    <row r="540" spans="7:32">
      <c r="G540" s="18"/>
      <c r="AA540"/>
      <c r="AB540"/>
      <c r="AC540"/>
      <c r="AD540"/>
      <c r="AE540"/>
      <c r="AF540"/>
    </row>
    <row r="541" spans="7:32">
      <c r="G541" s="18"/>
      <c r="AA541"/>
      <c r="AB541"/>
      <c r="AC541"/>
      <c r="AD541"/>
      <c r="AE541"/>
      <c r="AF541"/>
    </row>
    <row r="542" spans="7:32">
      <c r="G542" s="18"/>
      <c r="AA542"/>
      <c r="AB542"/>
      <c r="AC542"/>
      <c r="AD542"/>
      <c r="AE542"/>
      <c r="AF542"/>
    </row>
    <row r="543" spans="7:32">
      <c r="G543" s="18"/>
      <c r="AA543"/>
      <c r="AB543"/>
      <c r="AC543"/>
      <c r="AD543"/>
      <c r="AE543"/>
      <c r="AF543"/>
    </row>
    <row r="544" spans="7:32">
      <c r="G544" s="18"/>
      <c r="AA544"/>
      <c r="AB544"/>
      <c r="AC544"/>
      <c r="AD544"/>
      <c r="AE544"/>
      <c r="AF544"/>
    </row>
    <row r="545" spans="7:32">
      <c r="G545" s="18"/>
      <c r="AA545"/>
      <c r="AB545"/>
      <c r="AC545"/>
      <c r="AD545"/>
      <c r="AE545"/>
      <c r="AF545"/>
    </row>
    <row r="546" spans="7:32">
      <c r="G546" s="18"/>
      <c r="AA546"/>
      <c r="AB546"/>
      <c r="AC546"/>
      <c r="AD546"/>
      <c r="AE546"/>
      <c r="AF546"/>
    </row>
    <row r="547" spans="7:32">
      <c r="G547" s="18"/>
      <c r="AA547"/>
      <c r="AB547"/>
      <c r="AC547"/>
      <c r="AD547"/>
      <c r="AE547"/>
      <c r="AF547"/>
    </row>
    <row r="548" spans="7:32">
      <c r="G548" s="18"/>
      <c r="AA548"/>
      <c r="AB548"/>
      <c r="AC548"/>
      <c r="AD548"/>
      <c r="AE548"/>
      <c r="AF548"/>
    </row>
    <row r="549" spans="7:32">
      <c r="G549" s="18"/>
      <c r="AA549"/>
      <c r="AB549"/>
      <c r="AC549"/>
      <c r="AD549"/>
      <c r="AE549"/>
      <c r="AF549"/>
    </row>
    <row r="550" spans="7:32">
      <c r="G550" s="18"/>
      <c r="AA550"/>
      <c r="AB550"/>
      <c r="AC550"/>
      <c r="AD550"/>
      <c r="AE550"/>
      <c r="AF550"/>
    </row>
    <row r="551" spans="7:32">
      <c r="G551" s="18"/>
      <c r="AA551"/>
      <c r="AB551"/>
      <c r="AC551"/>
      <c r="AD551"/>
      <c r="AE551"/>
      <c r="AF551"/>
    </row>
    <row r="552" spans="7:32">
      <c r="G552" s="18"/>
      <c r="AA552"/>
      <c r="AB552"/>
      <c r="AC552"/>
      <c r="AD552"/>
      <c r="AE552"/>
      <c r="AF552"/>
    </row>
    <row r="553" spans="7:32">
      <c r="G553" s="18"/>
      <c r="AA553"/>
      <c r="AB553"/>
      <c r="AC553"/>
      <c r="AD553"/>
      <c r="AE553"/>
      <c r="AF553"/>
    </row>
    <row r="554" spans="7:32">
      <c r="G554" s="18"/>
      <c r="AA554"/>
      <c r="AB554"/>
      <c r="AC554"/>
      <c r="AD554"/>
      <c r="AE554"/>
      <c r="AF554"/>
    </row>
    <row r="555" spans="7:32">
      <c r="G555" s="18"/>
      <c r="AA555"/>
      <c r="AB555"/>
      <c r="AC555"/>
      <c r="AD555"/>
      <c r="AE555"/>
      <c r="AF555"/>
    </row>
    <row r="556" spans="7:32">
      <c r="G556" s="18"/>
      <c r="AA556"/>
      <c r="AB556"/>
      <c r="AC556"/>
      <c r="AD556"/>
      <c r="AE556"/>
      <c r="AF556"/>
    </row>
    <row r="557" spans="7:32">
      <c r="G557" s="18"/>
      <c r="AA557"/>
      <c r="AB557"/>
      <c r="AC557"/>
      <c r="AD557"/>
      <c r="AE557"/>
      <c r="AF557"/>
    </row>
    <row r="558" spans="7:32">
      <c r="G558" s="18"/>
      <c r="AA558"/>
      <c r="AB558"/>
      <c r="AC558"/>
      <c r="AD558"/>
      <c r="AE558"/>
      <c r="AF558"/>
    </row>
    <row r="559" spans="7:32">
      <c r="G559" s="18"/>
      <c r="AA559"/>
      <c r="AB559"/>
      <c r="AC559"/>
      <c r="AD559"/>
      <c r="AE559"/>
      <c r="AF559"/>
    </row>
    <row r="560" spans="7:32">
      <c r="G560" s="18"/>
      <c r="AA560"/>
      <c r="AB560"/>
      <c r="AC560"/>
      <c r="AD560"/>
      <c r="AE560"/>
      <c r="AF560"/>
    </row>
    <row r="561" spans="7:32">
      <c r="G561" s="18"/>
      <c r="AA561"/>
      <c r="AB561"/>
      <c r="AC561"/>
      <c r="AD561"/>
      <c r="AE561"/>
      <c r="AF561"/>
    </row>
    <row r="562" spans="7:32">
      <c r="G562" s="18"/>
      <c r="AA562"/>
      <c r="AB562"/>
      <c r="AC562"/>
      <c r="AD562"/>
      <c r="AE562"/>
      <c r="AF562"/>
    </row>
    <row r="563" spans="7:32">
      <c r="G563" s="18"/>
      <c r="AA563"/>
      <c r="AB563"/>
      <c r="AC563"/>
      <c r="AD563"/>
      <c r="AE563"/>
      <c r="AF563"/>
    </row>
    <row r="564" spans="7:32">
      <c r="G564" s="18"/>
      <c r="AA564"/>
      <c r="AB564"/>
      <c r="AC564"/>
      <c r="AD564"/>
      <c r="AE564"/>
      <c r="AF564"/>
    </row>
    <row r="565" spans="7:32">
      <c r="G565" s="18"/>
      <c r="AA565"/>
      <c r="AB565"/>
      <c r="AC565"/>
      <c r="AD565"/>
      <c r="AE565"/>
      <c r="AF565"/>
    </row>
    <row r="566" spans="7:32">
      <c r="G566" s="18"/>
      <c r="AA566"/>
      <c r="AB566"/>
      <c r="AC566"/>
      <c r="AD566"/>
      <c r="AE566"/>
      <c r="AF566"/>
    </row>
    <row r="567" spans="7:32">
      <c r="G567" s="18"/>
      <c r="AA567"/>
      <c r="AB567"/>
      <c r="AC567"/>
      <c r="AD567"/>
      <c r="AE567"/>
      <c r="AF567"/>
    </row>
  </sheetData>
  <mergeCells count="1">
    <mergeCell ref="A1:A3"/>
  </mergeCells>
  <conditionalFormatting sqref="AV3">
    <cfRule type="cellIs" dxfId="11" priority="17" operator="equal">
      <formula>#REF!</formula>
    </cfRule>
    <cfRule type="cellIs" dxfId="10" priority="18" operator="equal">
      <formula>#REF!</formula>
    </cfRule>
  </conditionalFormatting>
  <conditionalFormatting sqref="AV3">
    <cfRule type="cellIs" dxfId="9" priority="19" operator="equal">
      <formula>#REF!</formula>
    </cfRule>
    <cfRule type="cellIs" dxfId="8" priority="20" operator="equal">
      <formula>#REF!</formula>
    </cfRule>
  </conditionalFormatting>
  <conditionalFormatting sqref="G3:AU3">
    <cfRule type="cellIs" dxfId="7" priority="5" operator="equal">
      <formula>#REF!</formula>
    </cfRule>
    <cfRule type="cellIs" dxfId="6" priority="6" operator="equal">
      <formula>#REF!</formula>
    </cfRule>
  </conditionalFormatting>
  <conditionalFormatting sqref="G3:AU3">
    <cfRule type="cellIs" dxfId="5" priority="7" operator="equal">
      <formula>#REF!</formula>
    </cfRule>
    <cfRule type="cellIs" dxfId="4" priority="8" operator="equal">
      <formula>#REF!</formula>
    </cfRule>
  </conditionalFormatting>
  <conditionalFormatting sqref="D3:AU3">
    <cfRule type="cellIs" dxfId="3" priority="1" operator="equal">
      <formula>#REF!</formula>
    </cfRule>
    <cfRule type="cellIs" dxfId="2" priority="2" operator="equal">
      <formula>#REF!</formula>
    </cfRule>
  </conditionalFormatting>
  <conditionalFormatting sqref="D3:AU3">
    <cfRule type="cellIs" dxfId="1" priority="3" operator="equal">
      <formula>#REF!</formula>
    </cfRule>
    <cfRule type="cellIs" dxfId="0" priority="4" operator="equal">
      <formula>#REF!</formula>
    </cfRule>
  </conditionalFormatting>
  <pageMargins left="0.7" right="0.7" top="0.75" bottom="0.75" header="0.3" footer="0.3"/>
  <pageSetup orientation="portrait" horizontalDpi="1200" verticalDpi="1200" r:id="rId1"/>
  <headerFooter>
    <oddHeader>&amp;C&amp;"Calibri,Regular"&amp;K000000OVERALL DRAW</oddHeader>
    <oddFooter>&amp;C&amp;"Calibri,Regular"&amp;K000000PAGE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E557-D06C-4858-8032-137A2BCCD2E7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FE95-4ED2-40C2-A093-ADB7D34F28F5}">
  <sheetPr>
    <tabColor rgb="FF00B0F0"/>
    <pageSetUpPr fitToPage="1"/>
  </sheetPr>
  <dimension ref="A1:L100"/>
  <sheetViews>
    <sheetView topLeftCell="B22" zoomScaleNormal="100" workbookViewId="0">
      <selection activeCell="J22" sqref="J22"/>
    </sheetView>
  </sheetViews>
  <sheetFormatPr defaultColWidth="12.140625" defaultRowHeight="13.15"/>
  <cols>
    <col min="1" max="1" width="27.85546875" style="90" customWidth="1"/>
    <col min="2" max="2" width="12.140625" style="90"/>
    <col min="3" max="3" width="19.42578125" style="90" customWidth="1"/>
    <col min="4" max="4" width="21.85546875" style="90" customWidth="1"/>
    <col min="5" max="5" width="25.140625" style="90" customWidth="1"/>
    <col min="6" max="6" width="37.7109375" style="90" customWidth="1"/>
    <col min="7" max="7" width="26.42578125" style="90" customWidth="1"/>
    <col min="8" max="9" width="12.140625" style="90"/>
    <col min="10" max="10" width="20.42578125" style="90" bestFit="1" customWidth="1"/>
    <col min="11" max="11" width="21.85546875" style="90" bestFit="1" customWidth="1"/>
    <col min="12" max="16384" width="12.140625" style="90"/>
  </cols>
  <sheetData>
    <row r="1" spans="1:10">
      <c r="C1" s="90" t="s">
        <v>75</v>
      </c>
    </row>
    <row r="2" spans="1:10">
      <c r="C2" s="395"/>
      <c r="D2" s="395"/>
    </row>
    <row r="3" spans="1:10" ht="13.9" thickBot="1">
      <c r="B3" s="91"/>
      <c r="C3" s="92"/>
      <c r="D3" s="92"/>
      <c r="E3" s="92"/>
      <c r="F3" s="92"/>
    </row>
    <row r="4" spans="1:10" ht="13.9" thickBot="1">
      <c r="A4" s="399" t="s">
        <v>76</v>
      </c>
      <c r="B4" s="491"/>
      <c r="C4" s="491"/>
      <c r="D4" s="491"/>
      <c r="E4" s="491"/>
      <c r="F4" s="491"/>
      <c r="G4" s="491"/>
      <c r="H4" s="400"/>
      <c r="I4" s="92"/>
      <c r="J4" s="93"/>
    </row>
    <row r="5" spans="1:10" ht="13.9" thickBot="1">
      <c r="A5" s="94" t="s">
        <v>77</v>
      </c>
      <c r="B5" s="95"/>
      <c r="C5" s="96"/>
      <c r="D5" s="97"/>
      <c r="E5" s="98" t="s">
        <v>4</v>
      </c>
      <c r="F5" s="99" t="s">
        <v>78</v>
      </c>
      <c r="G5" s="291" t="s">
        <v>79</v>
      </c>
      <c r="H5" s="282"/>
    </row>
    <row r="6" spans="1:10" ht="24.95" customHeight="1">
      <c r="A6" s="100" t="s">
        <v>80</v>
      </c>
      <c r="B6" s="101"/>
      <c r="C6" s="492" t="s">
        <v>81</v>
      </c>
      <c r="D6" s="493" t="s">
        <v>82</v>
      </c>
      <c r="E6" s="102" t="s">
        <v>83</v>
      </c>
      <c r="F6" s="204">
        <v>30</v>
      </c>
      <c r="G6" s="103" t="s">
        <v>84</v>
      </c>
      <c r="H6" s="104"/>
    </row>
    <row r="7" spans="1:10" ht="24.95" customHeight="1">
      <c r="A7" s="105" t="s">
        <v>85</v>
      </c>
      <c r="B7" s="106"/>
      <c r="C7" s="494">
        <v>550</v>
      </c>
      <c r="D7" s="495">
        <v>550</v>
      </c>
      <c r="E7" s="107" t="s">
        <v>86</v>
      </c>
      <c r="F7" s="204" t="s">
        <v>87</v>
      </c>
      <c r="G7" s="108" t="s">
        <v>88</v>
      </c>
      <c r="H7" s="109">
        <v>4.7500000000000001E-2</v>
      </c>
    </row>
    <row r="8" spans="1:10">
      <c r="A8" s="105" t="s">
        <v>89</v>
      </c>
      <c r="B8" s="106"/>
      <c r="C8" s="496">
        <f>'Market Research'!E9/C7</f>
        <v>2.1818181818181817</v>
      </c>
      <c r="D8" s="497">
        <v>150</v>
      </c>
      <c r="E8" s="102" t="s">
        <v>90</v>
      </c>
      <c r="F8" s="204">
        <v>25</v>
      </c>
      <c r="G8" s="108" t="s">
        <v>91</v>
      </c>
      <c r="H8" s="109">
        <v>4.2000000000000003E-2</v>
      </c>
    </row>
    <row r="9" spans="1:10" ht="13.9" thickBot="1">
      <c r="A9" s="110" t="s">
        <v>92</v>
      </c>
      <c r="B9" s="111"/>
      <c r="C9" s="498"/>
      <c r="D9" s="499"/>
      <c r="E9" s="112" t="s">
        <v>93</v>
      </c>
      <c r="F9" s="205">
        <v>20</v>
      </c>
      <c r="G9" s="108" t="s">
        <v>4</v>
      </c>
      <c r="H9" s="109">
        <v>7.0999999999999994E-2</v>
      </c>
      <c r="I9" s="18"/>
    </row>
    <row r="10" spans="1:10" ht="13.9" thickBot="1">
      <c r="A10" s="105" t="s">
        <v>85</v>
      </c>
      <c r="B10" s="106"/>
      <c r="C10" s="500">
        <v>650</v>
      </c>
      <c r="D10" s="501">
        <v>750</v>
      </c>
      <c r="E10" s="502" t="s">
        <v>5</v>
      </c>
      <c r="F10" s="207" t="s">
        <v>78</v>
      </c>
      <c r="G10" s="108" t="s">
        <v>5</v>
      </c>
      <c r="H10" s="109">
        <v>6.4000000000000001E-2</v>
      </c>
      <c r="I10" s="18"/>
    </row>
    <row r="11" spans="1:10">
      <c r="A11" s="105" t="s">
        <v>89</v>
      </c>
      <c r="B11" s="106"/>
      <c r="C11" s="496">
        <v>2.0499999999999998</v>
      </c>
      <c r="D11" s="497">
        <v>200</v>
      </c>
      <c r="E11" s="503" t="s">
        <v>94</v>
      </c>
      <c r="F11" s="504">
        <f>'Market Research'!K8</f>
        <v>42</v>
      </c>
      <c r="G11" s="108" t="s">
        <v>95</v>
      </c>
      <c r="H11" s="109">
        <v>5.5E-2</v>
      </c>
    </row>
    <row r="12" spans="1:10" ht="13.9" thickBot="1">
      <c r="A12" s="113" t="s">
        <v>96</v>
      </c>
      <c r="B12" s="111"/>
      <c r="C12" s="498"/>
      <c r="D12" s="505"/>
      <c r="E12" s="114" t="s">
        <v>97</v>
      </c>
      <c r="F12" s="206">
        <v>40</v>
      </c>
      <c r="G12" s="115" t="s">
        <v>98</v>
      </c>
      <c r="H12" s="116">
        <v>0.02</v>
      </c>
    </row>
    <row r="13" spans="1:10" ht="13.9" thickBot="1">
      <c r="A13" s="105" t="s">
        <v>85</v>
      </c>
      <c r="B13" s="117"/>
      <c r="C13" s="494">
        <v>1000</v>
      </c>
      <c r="D13" s="506">
        <v>1000</v>
      </c>
      <c r="E13" s="118" t="s">
        <v>99</v>
      </c>
      <c r="F13" s="118"/>
      <c r="H13" s="119"/>
    </row>
    <row r="14" spans="1:10" ht="46.7" customHeight="1" thickBot="1">
      <c r="A14" s="105" t="s">
        <v>89</v>
      </c>
      <c r="B14" s="117"/>
      <c r="C14" s="496">
        <v>1.65</v>
      </c>
      <c r="D14" s="497">
        <v>237</v>
      </c>
      <c r="E14" s="507" t="s">
        <v>100</v>
      </c>
      <c r="F14" s="508">
        <v>7.0000000000000007E-2</v>
      </c>
      <c r="G14" s="401" t="s">
        <v>101</v>
      </c>
      <c r="H14" s="402"/>
    </row>
    <row r="15" spans="1:10">
      <c r="A15" s="113" t="s">
        <v>102</v>
      </c>
      <c r="B15" s="111"/>
      <c r="C15" s="498"/>
      <c r="D15" s="505"/>
      <c r="E15" s="90" t="s">
        <v>103</v>
      </c>
      <c r="F15" s="508">
        <v>3.5000000000000003E-2</v>
      </c>
      <c r="G15" s="103" t="s">
        <v>104</v>
      </c>
      <c r="H15" s="104"/>
    </row>
    <row r="16" spans="1:10">
      <c r="A16" s="105" t="s">
        <v>85</v>
      </c>
      <c r="B16" s="117"/>
      <c r="C16" s="494">
        <v>1400</v>
      </c>
      <c r="D16" s="506">
        <v>1400</v>
      </c>
      <c r="E16" s="509" t="s">
        <v>105</v>
      </c>
      <c r="F16" s="508">
        <v>0.3</v>
      </c>
      <c r="G16" s="108" t="s">
        <v>106</v>
      </c>
      <c r="H16" s="120">
        <v>0.7</v>
      </c>
    </row>
    <row r="17" spans="1:10" ht="13.9" thickBot="1">
      <c r="A17" s="121" t="s">
        <v>89</v>
      </c>
      <c r="B17" s="122"/>
      <c r="C17" s="510">
        <f>'Market Research'!E12/C16</f>
        <v>1.1785714285714286</v>
      </c>
      <c r="D17" s="511">
        <v>250</v>
      </c>
      <c r="E17" s="92"/>
      <c r="F17" s="92"/>
      <c r="G17" s="108" t="s">
        <v>107</v>
      </c>
      <c r="H17" s="120">
        <v>0.7</v>
      </c>
    </row>
    <row r="18" spans="1:10" ht="26.45" customHeight="1" thickBot="1">
      <c r="A18" s="123"/>
      <c r="B18" s="124"/>
      <c r="C18" s="124"/>
      <c r="D18" s="125"/>
      <c r="E18" s="512" t="s">
        <v>108</v>
      </c>
      <c r="F18" s="512"/>
      <c r="G18" s="93" t="s">
        <v>4</v>
      </c>
      <c r="H18" s="120">
        <v>0.7</v>
      </c>
    </row>
    <row r="19" spans="1:10" ht="13.9" thickBot="1">
      <c r="A19" s="396" t="s">
        <v>109</v>
      </c>
      <c r="B19" s="397"/>
      <c r="C19" s="398"/>
      <c r="D19" s="125"/>
      <c r="E19" s="513" t="s">
        <v>110</v>
      </c>
      <c r="F19" s="514" t="s">
        <v>111</v>
      </c>
      <c r="G19" s="230" t="s">
        <v>5</v>
      </c>
      <c r="H19" s="126">
        <v>0.6</v>
      </c>
    </row>
    <row r="20" spans="1:10">
      <c r="A20" s="127" t="s">
        <v>112</v>
      </c>
      <c r="B20" s="128"/>
      <c r="C20" s="207"/>
      <c r="D20" s="261"/>
      <c r="E20" s="241"/>
      <c r="F20" s="242"/>
      <c r="G20" s="93"/>
      <c r="H20" s="129"/>
    </row>
    <row r="21" spans="1:10">
      <c r="A21" s="130" t="s">
        <v>113</v>
      </c>
      <c r="B21" s="124"/>
      <c r="C21" s="208" t="s">
        <v>114</v>
      </c>
      <c r="D21" s="262"/>
      <c r="E21" s="515"/>
      <c r="F21" s="516"/>
      <c r="G21" s="131"/>
      <c r="H21" s="129"/>
    </row>
    <row r="22" spans="1:10">
      <c r="A22" s="130" t="s">
        <v>115</v>
      </c>
      <c r="B22" s="124"/>
      <c r="C22" s="208" t="s">
        <v>116</v>
      </c>
      <c r="D22" s="125"/>
      <c r="E22" s="517"/>
      <c r="F22" s="518"/>
      <c r="G22" s="93"/>
      <c r="H22" s="119"/>
    </row>
    <row r="23" spans="1:10">
      <c r="A23" s="132" t="s">
        <v>117</v>
      </c>
      <c r="B23" s="96"/>
      <c r="C23" s="209"/>
      <c r="D23" s="125"/>
      <c r="E23" s="519" t="s">
        <v>118</v>
      </c>
      <c r="F23" s="520" t="s">
        <v>119</v>
      </c>
      <c r="G23" s="93"/>
      <c r="H23" s="119"/>
    </row>
    <row r="24" spans="1:10">
      <c r="A24" s="133" t="s">
        <v>120</v>
      </c>
      <c r="B24" s="96"/>
      <c r="C24" s="210">
        <v>350</v>
      </c>
      <c r="D24" s="125"/>
      <c r="E24" s="515" t="s">
        <v>121</v>
      </c>
      <c r="F24" s="521">
        <v>0.08</v>
      </c>
      <c r="G24" s="93"/>
      <c r="H24" s="119"/>
      <c r="J24" s="283"/>
    </row>
    <row r="25" spans="1:10">
      <c r="A25" s="132" t="s">
        <v>122</v>
      </c>
      <c r="B25" s="96"/>
      <c r="C25" s="211"/>
      <c r="D25" s="125"/>
      <c r="E25" s="515"/>
      <c r="F25" s="522"/>
      <c r="G25" s="93"/>
      <c r="H25" s="119"/>
    </row>
    <row r="26" spans="1:10" ht="26.45">
      <c r="A26" s="133" t="s">
        <v>123</v>
      </c>
      <c r="B26" s="96"/>
      <c r="C26" s="212">
        <v>35000</v>
      </c>
      <c r="D26" s="125"/>
      <c r="E26" s="515" t="s">
        <v>124</v>
      </c>
      <c r="F26" s="523" t="s">
        <v>125</v>
      </c>
      <c r="G26" s="93"/>
      <c r="H26" s="119"/>
    </row>
    <row r="27" spans="1:10">
      <c r="A27" s="133" t="s">
        <v>126</v>
      </c>
      <c r="B27" s="96"/>
      <c r="C27" s="213">
        <v>10000</v>
      </c>
      <c r="D27" s="125"/>
      <c r="E27" s="519" t="s">
        <v>127</v>
      </c>
      <c r="F27" s="523" t="s">
        <v>128</v>
      </c>
      <c r="G27" s="93"/>
      <c r="H27" s="119"/>
    </row>
    <row r="28" spans="1:10">
      <c r="A28" s="132" t="s">
        <v>129</v>
      </c>
      <c r="B28" s="96"/>
      <c r="C28" s="214"/>
      <c r="D28" s="125"/>
      <c r="E28" s="524" t="s">
        <v>130</v>
      </c>
      <c r="F28" s="525" t="s">
        <v>131</v>
      </c>
      <c r="G28" s="93"/>
      <c r="H28" s="119"/>
    </row>
    <row r="29" spans="1:10">
      <c r="A29" s="133" t="s">
        <v>120</v>
      </c>
      <c r="B29" s="96"/>
      <c r="C29" s="215">
        <v>150</v>
      </c>
      <c r="D29" s="125"/>
      <c r="E29" s="524" t="s">
        <v>132</v>
      </c>
      <c r="F29" s="525" t="s">
        <v>131</v>
      </c>
      <c r="G29" s="93"/>
      <c r="H29" s="119"/>
    </row>
    <row r="30" spans="1:10">
      <c r="A30" s="133" t="s">
        <v>133</v>
      </c>
      <c r="B30" s="96"/>
      <c r="C30" s="213">
        <v>12500</v>
      </c>
      <c r="D30" s="125"/>
      <c r="E30" s="524" t="s">
        <v>134</v>
      </c>
      <c r="F30" s="526">
        <v>0.04</v>
      </c>
      <c r="G30" s="93"/>
      <c r="H30" s="119"/>
    </row>
    <row r="31" spans="1:10">
      <c r="A31" s="133" t="s">
        <v>135</v>
      </c>
      <c r="B31" s="96"/>
      <c r="C31" s="214"/>
      <c r="D31" s="125"/>
      <c r="E31" s="524" t="s">
        <v>136</v>
      </c>
      <c r="F31" s="527">
        <v>0.03</v>
      </c>
      <c r="G31" s="93"/>
      <c r="H31" s="119"/>
    </row>
    <row r="32" spans="1:10">
      <c r="A32" s="107" t="s">
        <v>137</v>
      </c>
      <c r="B32" s="96"/>
      <c r="C32" s="216">
        <v>50</v>
      </c>
      <c r="D32" s="125"/>
      <c r="E32" s="524" t="s">
        <v>138</v>
      </c>
      <c r="F32" s="526">
        <v>0.02</v>
      </c>
      <c r="G32" s="93"/>
      <c r="H32" s="119"/>
    </row>
    <row r="33" spans="1:10">
      <c r="A33" s="134" t="s">
        <v>139</v>
      </c>
      <c r="B33" s="135"/>
      <c r="C33" s="216">
        <v>100</v>
      </c>
      <c r="D33" s="125"/>
      <c r="E33" s="524" t="s">
        <v>140</v>
      </c>
      <c r="F33" s="528" t="s">
        <v>131</v>
      </c>
      <c r="G33" s="93"/>
      <c r="H33" s="119"/>
    </row>
    <row r="34" spans="1:10">
      <c r="A34" s="133" t="s">
        <v>141</v>
      </c>
      <c r="B34" s="124"/>
      <c r="C34" s="212">
        <v>0</v>
      </c>
      <c r="D34" s="125"/>
      <c r="E34" s="524" t="s">
        <v>142</v>
      </c>
      <c r="F34" s="523">
        <v>6000</v>
      </c>
      <c r="G34" s="93"/>
      <c r="H34" s="119"/>
    </row>
    <row r="35" spans="1:10" ht="13.9" thickBot="1">
      <c r="A35" s="136" t="s">
        <v>143</v>
      </c>
      <c r="B35" s="137"/>
      <c r="C35" s="217">
        <v>0</v>
      </c>
      <c r="D35" s="125"/>
      <c r="E35" s="524" t="s">
        <v>144</v>
      </c>
      <c r="F35" s="525" t="s">
        <v>131</v>
      </c>
      <c r="G35" s="93"/>
      <c r="H35" s="119"/>
    </row>
    <row r="36" spans="1:10">
      <c r="A36" s="123"/>
      <c r="B36" s="124"/>
      <c r="C36" s="124"/>
      <c r="D36" s="125"/>
      <c r="E36" s="524" t="s">
        <v>145</v>
      </c>
      <c r="F36" s="529">
        <v>6</v>
      </c>
      <c r="G36" s="93"/>
      <c r="H36" s="119"/>
    </row>
    <row r="37" spans="1:10">
      <c r="A37" s="123"/>
      <c r="B37" s="124"/>
      <c r="C37" s="124"/>
      <c r="D37" s="125"/>
      <c r="E37" s="524" t="s">
        <v>146</v>
      </c>
      <c r="F37" s="530">
        <v>75</v>
      </c>
      <c r="G37" s="93"/>
      <c r="H37" s="119"/>
    </row>
    <row r="38" spans="1:10">
      <c r="A38" s="123"/>
      <c r="B38" s="124"/>
      <c r="C38" s="124"/>
      <c r="D38" s="125"/>
      <c r="E38" s="524" t="s">
        <v>147</v>
      </c>
      <c r="F38" s="531">
        <v>0.06</v>
      </c>
      <c r="G38" s="93"/>
      <c r="H38" s="119"/>
    </row>
    <row r="39" spans="1:10">
      <c r="A39" s="123"/>
      <c r="B39" s="124"/>
      <c r="C39" s="124"/>
      <c r="D39" s="125"/>
      <c r="E39" s="524" t="s">
        <v>148</v>
      </c>
      <c r="F39" s="532">
        <v>1.4999999999999999E-2</v>
      </c>
      <c r="G39" s="93"/>
      <c r="H39" s="119"/>
    </row>
    <row r="40" spans="1:10" ht="13.9" thickBot="1">
      <c r="A40" s="123"/>
      <c r="B40" s="124"/>
      <c r="C40" s="124"/>
      <c r="D40" s="125"/>
      <c r="E40" s="533" t="s">
        <v>149</v>
      </c>
      <c r="F40" s="534">
        <v>7.0000000000000007E-2</v>
      </c>
      <c r="G40" s="93"/>
      <c r="H40" s="119"/>
    </row>
    <row r="41" spans="1:10">
      <c r="A41" s="123"/>
      <c r="B41" s="124"/>
      <c r="C41" s="124"/>
      <c r="D41" s="125"/>
      <c r="G41" s="93"/>
      <c r="H41" s="119"/>
    </row>
    <row r="42" spans="1:10" ht="13.9" thickBot="1">
      <c r="A42" s="123"/>
      <c r="B42" s="124"/>
      <c r="C42" s="124"/>
      <c r="D42" s="125"/>
      <c r="G42" s="93"/>
      <c r="H42" s="119"/>
    </row>
    <row r="43" spans="1:10">
      <c r="A43" s="535" t="s">
        <v>150</v>
      </c>
      <c r="B43" s="536"/>
      <c r="C43" s="536"/>
      <c r="D43" s="536"/>
      <c r="E43" s="537"/>
      <c r="F43" s="538" t="s">
        <v>151</v>
      </c>
      <c r="G43" s="539"/>
      <c r="H43" s="539"/>
      <c r="I43" s="539"/>
      <c r="J43" s="540"/>
    </row>
    <row r="44" spans="1:10">
      <c r="A44" s="138" t="s">
        <v>152</v>
      </c>
      <c r="B44" s="139">
        <v>1</v>
      </c>
      <c r="C44" s="139">
        <v>2</v>
      </c>
      <c r="D44" s="139">
        <v>3</v>
      </c>
      <c r="E44" s="140">
        <v>4</v>
      </c>
      <c r="F44" s="541" t="s">
        <v>152</v>
      </c>
      <c r="G44" s="542">
        <v>1</v>
      </c>
      <c r="H44" s="542">
        <v>2</v>
      </c>
      <c r="I44" s="542">
        <v>3</v>
      </c>
      <c r="J44" s="543">
        <v>4</v>
      </c>
    </row>
    <row r="45" spans="1:10" ht="13.9" thickBot="1">
      <c r="A45" s="541" t="s">
        <v>153</v>
      </c>
      <c r="B45" s="544">
        <f>C45/2</f>
        <v>26000</v>
      </c>
      <c r="C45" s="544">
        <v>52000</v>
      </c>
      <c r="D45" s="544">
        <f>B45*3</f>
        <v>78000</v>
      </c>
      <c r="E45" s="545">
        <f>B45*4</f>
        <v>104000</v>
      </c>
      <c r="F45" s="541" t="s">
        <v>153</v>
      </c>
      <c r="G45" s="546">
        <f>B45</f>
        <v>26000</v>
      </c>
      <c r="H45" s="546">
        <f t="shared" ref="H45:J45" si="0">C45</f>
        <v>52000</v>
      </c>
      <c r="I45" s="546">
        <f t="shared" si="0"/>
        <v>78000</v>
      </c>
      <c r="J45" s="546">
        <f t="shared" si="0"/>
        <v>104000</v>
      </c>
    </row>
    <row r="46" spans="1:10">
      <c r="A46" s="547" t="s">
        <v>154</v>
      </c>
      <c r="B46" s="544">
        <f>0.5*B$45</f>
        <v>13000</v>
      </c>
      <c r="C46" s="544">
        <f t="shared" ref="C46:E46" si="1">0.5*C$45</f>
        <v>26000</v>
      </c>
      <c r="D46" s="544">
        <f t="shared" si="1"/>
        <v>39000</v>
      </c>
      <c r="E46" s="545">
        <f t="shared" si="1"/>
        <v>52000</v>
      </c>
      <c r="F46" s="548" t="s">
        <v>155</v>
      </c>
      <c r="G46" s="549">
        <f>0.7*G$45</f>
        <v>18200</v>
      </c>
      <c r="H46" s="549">
        <f t="shared" ref="H46:J46" si="2">0.7*H$45</f>
        <v>36400</v>
      </c>
      <c r="I46" s="549">
        <f t="shared" si="2"/>
        <v>54600</v>
      </c>
      <c r="J46" s="550">
        <f t="shared" si="2"/>
        <v>72800</v>
      </c>
    </row>
    <row r="47" spans="1:10">
      <c r="A47" s="524" t="s">
        <v>156</v>
      </c>
      <c r="B47" s="544">
        <f>0.3*B46</f>
        <v>3900</v>
      </c>
      <c r="C47" s="544">
        <f>0.3*C46</f>
        <v>7800</v>
      </c>
      <c r="D47" s="544">
        <f>0.3*D46</f>
        <v>11700</v>
      </c>
      <c r="E47" s="545">
        <f>0.3*E46</f>
        <v>15600</v>
      </c>
      <c r="F47" s="141" t="s">
        <v>157</v>
      </c>
      <c r="G47" s="142">
        <f>0.35*G46</f>
        <v>6370</v>
      </c>
      <c r="H47" s="142">
        <f t="shared" ref="H47:J47" si="3">0.35*H46</f>
        <v>12740</v>
      </c>
      <c r="I47" s="142">
        <f t="shared" si="3"/>
        <v>19110</v>
      </c>
      <c r="J47" s="143">
        <f t="shared" si="3"/>
        <v>25480</v>
      </c>
    </row>
    <row r="48" spans="1:10" ht="13.9" thickBot="1">
      <c r="A48" s="551" t="s">
        <v>158</v>
      </c>
      <c r="B48" s="552">
        <v>1728</v>
      </c>
      <c r="C48" s="552">
        <v>2112</v>
      </c>
      <c r="D48" s="552">
        <v>2496</v>
      </c>
      <c r="E48" s="553">
        <v>2892</v>
      </c>
      <c r="F48" s="141" t="s">
        <v>158</v>
      </c>
      <c r="G48" s="142">
        <f>-12*200</f>
        <v>-2400</v>
      </c>
      <c r="H48" s="142">
        <f t="shared" ref="H48:J48" si="4">-12*200</f>
        <v>-2400</v>
      </c>
      <c r="I48" s="142">
        <f t="shared" si="4"/>
        <v>-2400</v>
      </c>
      <c r="J48" s="143">
        <f t="shared" si="4"/>
        <v>-2400</v>
      </c>
    </row>
    <row r="49" spans="1:10" ht="13.9" thickTop="1">
      <c r="A49" s="144" t="s">
        <v>159</v>
      </c>
      <c r="B49" s="145">
        <f>B47-B48</f>
        <v>2172</v>
      </c>
      <c r="C49" s="145">
        <f>C47-C48</f>
        <v>5688</v>
      </c>
      <c r="D49" s="145">
        <f>D47-D48</f>
        <v>9204</v>
      </c>
      <c r="E49" s="146">
        <f>E47-E48</f>
        <v>12708</v>
      </c>
      <c r="F49" s="141" t="s">
        <v>160</v>
      </c>
      <c r="G49" s="142">
        <v>-1000</v>
      </c>
      <c r="H49" s="142">
        <v>-1000</v>
      </c>
      <c r="I49" s="142">
        <v>-1000</v>
      </c>
      <c r="J49" s="143">
        <v>-1000</v>
      </c>
    </row>
    <row r="50" spans="1:10" ht="13.9" thickBot="1">
      <c r="A50" s="547" t="s">
        <v>161</v>
      </c>
      <c r="B50" s="554">
        <f>B49/12</f>
        <v>181</v>
      </c>
      <c r="C50" s="554">
        <f>C49/12</f>
        <v>474</v>
      </c>
      <c r="D50" s="554">
        <f>D49/12</f>
        <v>767</v>
      </c>
      <c r="E50" s="555">
        <f>E49/12</f>
        <v>1059</v>
      </c>
      <c r="F50" s="147" t="s">
        <v>162</v>
      </c>
      <c r="G50" s="148">
        <f>-0.014*425000</f>
        <v>-5950</v>
      </c>
      <c r="H50" s="148">
        <f t="shared" ref="H50:J50" si="5">-0.014*425000</f>
        <v>-5950</v>
      </c>
      <c r="I50" s="148">
        <f t="shared" si="5"/>
        <v>-5950</v>
      </c>
      <c r="J50" s="149">
        <f t="shared" si="5"/>
        <v>-5950</v>
      </c>
    </row>
    <row r="51" spans="1:10" ht="13.9" thickTop="1">
      <c r="A51" s="547"/>
      <c r="B51" s="544"/>
      <c r="C51" s="544"/>
      <c r="D51" s="544"/>
      <c r="E51" s="545"/>
      <c r="F51" s="141" t="s">
        <v>163</v>
      </c>
      <c r="G51" s="142">
        <f>SUM(G47:G50)</f>
        <v>-2980</v>
      </c>
      <c r="H51" s="142">
        <f t="shared" ref="H51:J51" si="6">SUM(H47:H50)</f>
        <v>3390</v>
      </c>
      <c r="I51" s="142">
        <f t="shared" si="6"/>
        <v>9760</v>
      </c>
      <c r="J51" s="143">
        <f t="shared" si="6"/>
        <v>16130</v>
      </c>
    </row>
    <row r="52" spans="1:10">
      <c r="A52" s="547" t="s">
        <v>164</v>
      </c>
      <c r="B52" s="544">
        <f>0.7*B$45</f>
        <v>18200</v>
      </c>
      <c r="C52" s="544">
        <f t="shared" ref="C52:E52" si="7">0.7*C$45</f>
        <v>36400</v>
      </c>
      <c r="D52" s="544">
        <f t="shared" si="7"/>
        <v>54600</v>
      </c>
      <c r="E52" s="545">
        <f t="shared" si="7"/>
        <v>72800</v>
      </c>
      <c r="F52" s="150">
        <v>0.04</v>
      </c>
      <c r="G52" s="151">
        <f>-PV($F52,30,G51)</f>
        <v>-51530.259235980186</v>
      </c>
      <c r="H52" s="151">
        <f t="shared" ref="H52:J52" si="8">-PV($F52,30,H51)</f>
        <v>58619.992889252622</v>
      </c>
      <c r="I52" s="151">
        <f t="shared" si="8"/>
        <v>168770.24501448541</v>
      </c>
      <c r="J52" s="152">
        <f t="shared" si="8"/>
        <v>278920.49713971821</v>
      </c>
    </row>
    <row r="53" spans="1:10" ht="13.9" thickBot="1">
      <c r="A53" s="524" t="s">
        <v>156</v>
      </c>
      <c r="B53" s="544">
        <f>0.3*B52</f>
        <v>5460</v>
      </c>
      <c r="C53" s="544">
        <f>0.3*C52</f>
        <v>10920</v>
      </c>
      <c r="D53" s="544">
        <f>0.3*D52</f>
        <v>16380</v>
      </c>
      <c r="E53" s="545">
        <f>0.3*E52</f>
        <v>21840</v>
      </c>
      <c r="F53" s="153">
        <v>0.03</v>
      </c>
      <c r="G53" s="154">
        <f>$F53*(G52/(1-$F53))</f>
        <v>-1593.7193578138204</v>
      </c>
      <c r="H53" s="154">
        <f t="shared" ref="H53:J53" si="9">$F53*(H52/(1-$F53))</f>
        <v>1812.9894708016275</v>
      </c>
      <c r="I53" s="154">
        <f t="shared" si="9"/>
        <v>5219.6982994170739</v>
      </c>
      <c r="J53" s="155">
        <f t="shared" si="9"/>
        <v>8626.4071280325225</v>
      </c>
    </row>
    <row r="54" spans="1:10" ht="14.45" thickTop="1" thickBot="1">
      <c r="A54" s="551" t="s">
        <v>158</v>
      </c>
      <c r="B54" s="552">
        <v>1728</v>
      </c>
      <c r="C54" s="552">
        <v>2112</v>
      </c>
      <c r="D54" s="552">
        <v>2496</v>
      </c>
      <c r="E54" s="553">
        <v>2892</v>
      </c>
      <c r="F54" s="156" t="s">
        <v>165</v>
      </c>
      <c r="G54" s="556">
        <f>SUM(G52:G53)</f>
        <v>-53123.978593794003</v>
      </c>
      <c r="H54" s="556">
        <f t="shared" ref="H54:J54" si="10">SUM(H52:H53)</f>
        <v>60432.982360054251</v>
      </c>
      <c r="I54" s="556">
        <f t="shared" si="10"/>
        <v>173989.94331390248</v>
      </c>
      <c r="J54" s="157">
        <f t="shared" si="10"/>
        <v>287546.90426775074</v>
      </c>
    </row>
    <row r="55" spans="1:10" ht="14.45" thickTop="1" thickBot="1">
      <c r="A55" s="144" t="s">
        <v>159</v>
      </c>
      <c r="B55" s="145">
        <f>B53-B54</f>
        <v>3732</v>
      </c>
      <c r="C55" s="145">
        <f>C53-C54</f>
        <v>8808</v>
      </c>
      <c r="D55" s="145">
        <f>D53-D54</f>
        <v>13884</v>
      </c>
      <c r="E55" s="146">
        <f>E53-E54</f>
        <v>18948</v>
      </c>
      <c r="F55" s="158"/>
      <c r="G55" s="159"/>
      <c r="H55" s="159"/>
      <c r="I55" s="159"/>
      <c r="J55" s="160"/>
    </row>
    <row r="56" spans="1:10">
      <c r="A56" s="547" t="s">
        <v>161</v>
      </c>
      <c r="B56" s="554">
        <f>B55/12</f>
        <v>311</v>
      </c>
      <c r="C56" s="554">
        <f>C55/12</f>
        <v>734</v>
      </c>
      <c r="D56" s="554">
        <f>D55/12</f>
        <v>1157</v>
      </c>
      <c r="E56" s="555">
        <f>E55/12</f>
        <v>1579</v>
      </c>
      <c r="F56" s="557" t="s">
        <v>166</v>
      </c>
      <c r="G56" s="549">
        <f>1*G$45</f>
        <v>26000</v>
      </c>
      <c r="H56" s="549">
        <f t="shared" ref="H56:J56" si="11">1*H$45</f>
        <v>52000</v>
      </c>
      <c r="I56" s="549">
        <f t="shared" si="11"/>
        <v>78000</v>
      </c>
      <c r="J56" s="550">
        <f t="shared" si="11"/>
        <v>104000</v>
      </c>
    </row>
    <row r="57" spans="1:10">
      <c r="A57" s="547"/>
      <c r="B57" s="558"/>
      <c r="C57" s="558"/>
      <c r="D57" s="558"/>
      <c r="E57" s="559"/>
      <c r="F57" s="141" t="s">
        <v>157</v>
      </c>
      <c r="G57" s="142">
        <f>0.35*G56</f>
        <v>9100</v>
      </c>
      <c r="H57" s="142">
        <f t="shared" ref="H57:J57" si="12">0.35*H56</f>
        <v>18200</v>
      </c>
      <c r="I57" s="142">
        <f t="shared" si="12"/>
        <v>27300</v>
      </c>
      <c r="J57" s="143">
        <f t="shared" si="12"/>
        <v>36400</v>
      </c>
    </row>
    <row r="58" spans="1:10">
      <c r="A58" s="547" t="s">
        <v>167</v>
      </c>
      <c r="B58" s="544">
        <f>1.1*B45</f>
        <v>28600.000000000004</v>
      </c>
      <c r="C58" s="544">
        <f>1.1*C45</f>
        <v>57200.000000000007</v>
      </c>
      <c r="D58" s="544">
        <f>1.1*D45</f>
        <v>85800</v>
      </c>
      <c r="E58" s="545">
        <f>1.1*E45</f>
        <v>114400.00000000001</v>
      </c>
      <c r="F58" s="141" t="s">
        <v>158</v>
      </c>
      <c r="G58" s="142">
        <f>-12*200</f>
        <v>-2400</v>
      </c>
      <c r="H58" s="142">
        <f t="shared" ref="H58:J58" si="13">-12*200</f>
        <v>-2400</v>
      </c>
      <c r="I58" s="142">
        <f t="shared" si="13"/>
        <v>-2400</v>
      </c>
      <c r="J58" s="143">
        <f t="shared" si="13"/>
        <v>-2400</v>
      </c>
    </row>
    <row r="59" spans="1:10">
      <c r="A59" s="524" t="s">
        <v>157</v>
      </c>
      <c r="B59" s="544">
        <f>0.35*B58</f>
        <v>10010</v>
      </c>
      <c r="C59" s="544">
        <f>0.35*C58</f>
        <v>20020</v>
      </c>
      <c r="D59" s="544">
        <f>0.35*D58</f>
        <v>30029.999999999996</v>
      </c>
      <c r="E59" s="545">
        <f>0.35*E58</f>
        <v>40040</v>
      </c>
      <c r="F59" s="141" t="s">
        <v>160</v>
      </c>
      <c r="G59" s="142">
        <v>-1000</v>
      </c>
      <c r="H59" s="142">
        <v>-1000</v>
      </c>
      <c r="I59" s="142">
        <v>-1000</v>
      </c>
      <c r="J59" s="143">
        <v>-1000</v>
      </c>
    </row>
    <row r="60" spans="1:10" ht="13.9" thickBot="1">
      <c r="A60" s="551" t="s">
        <v>158</v>
      </c>
      <c r="B60" s="552">
        <v>1728</v>
      </c>
      <c r="C60" s="552">
        <v>2112</v>
      </c>
      <c r="D60" s="552">
        <v>2496</v>
      </c>
      <c r="E60" s="553">
        <v>2892</v>
      </c>
      <c r="F60" s="147" t="s">
        <v>162</v>
      </c>
      <c r="G60" s="148">
        <f>-0.014*425000</f>
        <v>-5950</v>
      </c>
      <c r="H60" s="148">
        <f t="shared" ref="H60:J60" si="14">-0.014*425000</f>
        <v>-5950</v>
      </c>
      <c r="I60" s="148">
        <f t="shared" si="14"/>
        <v>-5950</v>
      </c>
      <c r="J60" s="149">
        <f t="shared" si="14"/>
        <v>-5950</v>
      </c>
    </row>
    <row r="61" spans="1:10" ht="13.9" thickTop="1">
      <c r="A61" s="161" t="s">
        <v>163</v>
      </c>
      <c r="B61" s="145">
        <f>B59-B60</f>
        <v>8282</v>
      </c>
      <c r="C61" s="145">
        <f>C59-C60</f>
        <v>17908</v>
      </c>
      <c r="D61" s="145">
        <f>D59-D60</f>
        <v>27533.999999999996</v>
      </c>
      <c r="E61" s="146">
        <f>E59-E60</f>
        <v>37148</v>
      </c>
      <c r="F61" s="158" t="s">
        <v>163</v>
      </c>
      <c r="G61" s="159">
        <f>SUM(G57:G60)</f>
        <v>-250</v>
      </c>
      <c r="H61" s="159">
        <f t="shared" ref="H61:J61" si="15">SUM(H57:H60)</f>
        <v>8850</v>
      </c>
      <c r="I61" s="159">
        <f t="shared" si="15"/>
        <v>17950</v>
      </c>
      <c r="J61" s="160">
        <f t="shared" si="15"/>
        <v>27050</v>
      </c>
    </row>
    <row r="62" spans="1:10" ht="13.9" thickBot="1">
      <c r="A62" s="560" t="s">
        <v>161</v>
      </c>
      <c r="B62" s="561">
        <f>B61/12</f>
        <v>690.16666666666663</v>
      </c>
      <c r="C62" s="561">
        <f>C61/12</f>
        <v>1492.3333333333333</v>
      </c>
      <c r="D62" s="561">
        <f>D61/12</f>
        <v>2294.4999999999995</v>
      </c>
      <c r="E62" s="562">
        <f>E61/12</f>
        <v>3095.6666666666665</v>
      </c>
      <c r="F62" s="150">
        <v>0.04</v>
      </c>
      <c r="G62" s="151">
        <f>-PV($F62,30,G61)</f>
        <v>-4323.0083251661226</v>
      </c>
      <c r="H62" s="151">
        <f t="shared" ref="H62:J62" si="16">-PV($F62,30,H61)</f>
        <v>153034.49471088074</v>
      </c>
      <c r="I62" s="151">
        <f t="shared" si="16"/>
        <v>310391.99774692761</v>
      </c>
      <c r="J62" s="152">
        <f t="shared" si="16"/>
        <v>467749.50078297447</v>
      </c>
    </row>
    <row r="63" spans="1:10" ht="13.9" thickBot="1">
      <c r="A63" s="123"/>
      <c r="B63" s="124"/>
      <c r="C63" s="124"/>
      <c r="D63" s="125"/>
      <c r="E63" s="92"/>
      <c r="F63" s="153">
        <v>0.03</v>
      </c>
      <c r="G63" s="154">
        <f>$F63*(G62/(1-$F63))</f>
        <v>-133.70128840719968</v>
      </c>
      <c r="H63" s="154">
        <f t="shared" ref="H63:J63" si="17">$F63*(H62/(1-$F63))</f>
        <v>4733.0256096148687</v>
      </c>
      <c r="I63" s="154">
        <f t="shared" si="17"/>
        <v>9599.7525076369366</v>
      </c>
      <c r="J63" s="155">
        <f t="shared" si="17"/>
        <v>14466.479405659004</v>
      </c>
    </row>
    <row r="64" spans="1:10" ht="14.45" thickTop="1" thickBot="1">
      <c r="A64" s="123"/>
      <c r="B64" s="124"/>
      <c r="C64" s="124"/>
      <c r="D64" s="125"/>
      <c r="E64" s="92"/>
      <c r="F64" s="156" t="s">
        <v>165</v>
      </c>
      <c r="G64" s="556">
        <f>SUM(G62:G63)</f>
        <v>-4456.7096135733227</v>
      </c>
      <c r="H64" s="556">
        <f t="shared" ref="H64:J64" si="18">SUM(H62:H63)</f>
        <v>157767.52032049562</v>
      </c>
      <c r="I64" s="556">
        <f t="shared" si="18"/>
        <v>319991.75025456457</v>
      </c>
      <c r="J64" s="157">
        <f t="shared" si="18"/>
        <v>482215.98018863349</v>
      </c>
    </row>
    <row r="65" spans="1:10" ht="13.9" thickBot="1">
      <c r="A65" s="123"/>
      <c r="B65" s="124"/>
      <c r="C65" s="124"/>
      <c r="D65" s="125"/>
      <c r="E65" s="92"/>
      <c r="F65" s="158"/>
      <c r="G65" s="159"/>
      <c r="H65" s="159"/>
      <c r="I65" s="159"/>
      <c r="J65" s="160"/>
    </row>
    <row r="66" spans="1:10">
      <c r="A66" s="123"/>
      <c r="B66" s="124"/>
      <c r="C66" s="124"/>
      <c r="D66" s="125"/>
      <c r="E66" s="92"/>
      <c r="F66" s="557" t="s">
        <v>168</v>
      </c>
      <c r="G66" s="549">
        <f>1.2*G$45</f>
        <v>31200</v>
      </c>
      <c r="H66" s="549">
        <f t="shared" ref="H66:J66" si="19">1.2*H$45</f>
        <v>62400</v>
      </c>
      <c r="I66" s="549">
        <f t="shared" si="19"/>
        <v>93600</v>
      </c>
      <c r="J66" s="550">
        <f t="shared" si="19"/>
        <v>124800</v>
      </c>
    </row>
    <row r="67" spans="1:10">
      <c r="A67" s="123"/>
      <c r="B67" s="124"/>
      <c r="C67" s="124"/>
      <c r="D67" s="125"/>
      <c r="E67" s="92"/>
      <c r="F67" s="141" t="s">
        <v>157</v>
      </c>
      <c r="G67" s="142">
        <f>0.35*G66</f>
        <v>10920</v>
      </c>
      <c r="H67" s="142">
        <f t="shared" ref="H67:J67" si="20">0.35*H66</f>
        <v>21840</v>
      </c>
      <c r="I67" s="142">
        <f t="shared" si="20"/>
        <v>32759.999999999996</v>
      </c>
      <c r="J67" s="143">
        <f t="shared" si="20"/>
        <v>43680</v>
      </c>
    </row>
    <row r="68" spans="1:10">
      <c r="A68" s="123"/>
      <c r="B68" s="124"/>
      <c r="C68" s="124"/>
      <c r="D68" s="125"/>
      <c r="E68" s="92"/>
      <c r="F68" s="141" t="s">
        <v>158</v>
      </c>
      <c r="G68" s="142">
        <f>-12*200</f>
        <v>-2400</v>
      </c>
      <c r="H68" s="142">
        <f t="shared" ref="H68:J68" si="21">-12*200</f>
        <v>-2400</v>
      </c>
      <c r="I68" s="142">
        <f t="shared" si="21"/>
        <v>-2400</v>
      </c>
      <c r="J68" s="143">
        <f t="shared" si="21"/>
        <v>-2400</v>
      </c>
    </row>
    <row r="69" spans="1:10">
      <c r="B69" s="124"/>
      <c r="C69" s="124"/>
      <c r="D69" s="125"/>
      <c r="E69" s="92"/>
      <c r="F69" s="141" t="s">
        <v>160</v>
      </c>
      <c r="G69" s="142">
        <v>-1000</v>
      </c>
      <c r="H69" s="142">
        <v>-1000</v>
      </c>
      <c r="I69" s="142">
        <v>-1000</v>
      </c>
      <c r="J69" s="143">
        <v>-1000</v>
      </c>
    </row>
    <row r="70" spans="1:10" ht="13.9" thickBot="1">
      <c r="A70" s="123"/>
      <c r="B70" s="124"/>
      <c r="C70" s="124"/>
      <c r="D70" s="125"/>
      <c r="E70" s="92"/>
      <c r="F70" s="147" t="s">
        <v>162</v>
      </c>
      <c r="G70" s="148">
        <f>-0.014*425000</f>
        <v>-5950</v>
      </c>
      <c r="H70" s="148">
        <f t="shared" ref="H70:J70" si="22">-0.014*425000</f>
        <v>-5950</v>
      </c>
      <c r="I70" s="148">
        <f t="shared" si="22"/>
        <v>-5950</v>
      </c>
      <c r="J70" s="149">
        <f t="shared" si="22"/>
        <v>-5950</v>
      </c>
    </row>
    <row r="71" spans="1:10" ht="13.9" thickTop="1">
      <c r="A71" s="123"/>
      <c r="B71" s="124"/>
      <c r="C71" s="124"/>
      <c r="D71" s="125"/>
      <c r="E71" s="92"/>
      <c r="F71" s="158" t="s">
        <v>163</v>
      </c>
      <c r="G71" s="159">
        <f>SUM(G67:G70)</f>
        <v>1570</v>
      </c>
      <c r="H71" s="159">
        <f t="shared" ref="H71:J71" si="23">SUM(H67:H70)</f>
        <v>12490</v>
      </c>
      <c r="I71" s="159">
        <f t="shared" si="23"/>
        <v>23409.999999999996</v>
      </c>
      <c r="J71" s="160">
        <f t="shared" si="23"/>
        <v>34330</v>
      </c>
    </row>
    <row r="72" spans="1:10" ht="13.9">
      <c r="A72" s="271"/>
      <c r="B72" s="124"/>
      <c r="C72" s="124"/>
      <c r="D72" s="125"/>
      <c r="E72" s="92"/>
      <c r="F72" s="150">
        <v>0.04</v>
      </c>
      <c r="G72" s="151">
        <f>-PV($F72,30,G71)</f>
        <v>27148.492282043251</v>
      </c>
      <c r="H72" s="151">
        <f t="shared" ref="H72:J72" si="24">-PV($F72,30,H71)</f>
        <v>215977.49592529947</v>
      </c>
      <c r="I72" s="151">
        <f t="shared" si="24"/>
        <v>404806.49956855568</v>
      </c>
      <c r="J72" s="152">
        <f t="shared" si="24"/>
        <v>593635.503211812</v>
      </c>
    </row>
    <row r="73" spans="1:10" ht="13.9" thickBot="1">
      <c r="A73" s="123"/>
      <c r="B73" s="124"/>
      <c r="C73" s="124"/>
      <c r="D73" s="125"/>
      <c r="E73" s="92"/>
      <c r="F73" s="153">
        <v>0.03</v>
      </c>
      <c r="G73" s="154">
        <f>$F73*(G72/(1-$F73))</f>
        <v>839.64409119721392</v>
      </c>
      <c r="H73" s="154">
        <f t="shared" ref="H73:J73" si="25">$F73*(H72/(1-$F73))</f>
        <v>6679.7163688236951</v>
      </c>
      <c r="I73" s="154">
        <f t="shared" si="25"/>
        <v>12519.788646450175</v>
      </c>
      <c r="J73" s="155">
        <f t="shared" si="25"/>
        <v>18359.86092407666</v>
      </c>
    </row>
    <row r="74" spans="1:10" ht="14.45" thickTop="1" thickBot="1">
      <c r="A74" s="123"/>
      <c r="B74" s="124"/>
      <c r="C74" s="124"/>
      <c r="D74" s="125"/>
      <c r="E74" s="92"/>
      <c r="F74" s="156" t="s">
        <v>165</v>
      </c>
      <c r="G74" s="556">
        <f>SUM(G72:G73)</f>
        <v>27988.136373240464</v>
      </c>
      <c r="H74" s="556">
        <f t="shared" ref="H74:J74" si="26">SUM(H72:H73)</f>
        <v>222657.21229412316</v>
      </c>
      <c r="I74" s="556">
        <f t="shared" si="26"/>
        <v>417326.28821500583</v>
      </c>
      <c r="J74" s="157">
        <f t="shared" si="26"/>
        <v>611995.36413588864</v>
      </c>
    </row>
    <row r="75" spans="1:10">
      <c r="A75" s="378" t="s">
        <v>1</v>
      </c>
      <c r="B75" s="379"/>
      <c r="C75" s="379"/>
      <c r="D75" s="125"/>
      <c r="E75" s="92"/>
      <c r="F75" s="92"/>
      <c r="G75" s="93"/>
      <c r="H75" s="119"/>
    </row>
    <row r="76" spans="1:10">
      <c r="A76" s="394" t="s">
        <v>8</v>
      </c>
      <c r="B76" s="394"/>
      <c r="C76" s="379"/>
      <c r="E76" s="378" t="s">
        <v>0</v>
      </c>
      <c r="F76" s="379"/>
      <c r="G76" s="379"/>
      <c r="H76" s="379"/>
      <c r="I76" s="379"/>
      <c r="J76" s="379"/>
    </row>
    <row r="77" spans="1:10">
      <c r="E77" s="393" t="s">
        <v>3</v>
      </c>
      <c r="F77" s="393"/>
      <c r="G77" s="379"/>
      <c r="H77" s="393" t="s">
        <v>4</v>
      </c>
      <c r="I77" s="393"/>
      <c r="J77" s="379"/>
    </row>
    <row r="78" spans="1:10">
      <c r="A78" s="90" t="s">
        <v>16</v>
      </c>
      <c r="B78" s="380">
        <v>130</v>
      </c>
      <c r="C78" s="380">
        <v>150</v>
      </c>
    </row>
    <row r="79" spans="1:10">
      <c r="A79" s="90" t="s">
        <v>26</v>
      </c>
      <c r="B79" s="380">
        <v>175</v>
      </c>
      <c r="C79" s="380">
        <v>200</v>
      </c>
      <c r="E79" s="90" t="s">
        <v>11</v>
      </c>
      <c r="F79" s="381"/>
      <c r="G79" s="381">
        <v>1.45</v>
      </c>
      <c r="H79" s="90" t="s">
        <v>12</v>
      </c>
      <c r="I79" s="380"/>
      <c r="J79" s="380">
        <v>25</v>
      </c>
    </row>
    <row r="80" spans="1:10">
      <c r="A80" s="90" t="s">
        <v>31</v>
      </c>
      <c r="B80" s="380">
        <v>200</v>
      </c>
      <c r="C80" s="380">
        <v>250</v>
      </c>
      <c r="E80" s="90" t="s">
        <v>21</v>
      </c>
      <c r="F80" s="380"/>
      <c r="G80" s="380">
        <v>1200</v>
      </c>
      <c r="H80" s="90" t="s">
        <v>22</v>
      </c>
      <c r="I80" s="382"/>
      <c r="J80" s="382" t="s">
        <v>23</v>
      </c>
    </row>
    <row r="81" spans="1:11">
      <c r="A81" s="90" t="s">
        <v>40</v>
      </c>
      <c r="B81" s="380">
        <v>200</v>
      </c>
      <c r="C81" s="380"/>
      <c r="E81" s="90" t="s">
        <v>28</v>
      </c>
      <c r="F81" s="380"/>
      <c r="G81" s="380">
        <v>1250</v>
      </c>
      <c r="H81" s="90" t="s">
        <v>29</v>
      </c>
      <c r="I81" s="383"/>
      <c r="J81" s="383">
        <v>4.3999999999999997E-2</v>
      </c>
    </row>
    <row r="82" spans="1:11">
      <c r="A82" s="90" t="s">
        <v>48</v>
      </c>
      <c r="B82" s="380">
        <v>100</v>
      </c>
      <c r="C82" s="380">
        <v>125</v>
      </c>
      <c r="E82" s="90" t="s">
        <v>33</v>
      </c>
      <c r="F82" s="380"/>
      <c r="G82" s="380">
        <v>1390</v>
      </c>
      <c r="H82" s="90" t="s">
        <v>34</v>
      </c>
      <c r="I82" s="384"/>
      <c r="J82" s="384" t="s">
        <v>35</v>
      </c>
    </row>
    <row r="83" spans="1:11">
      <c r="A83" s="90" t="s">
        <v>51</v>
      </c>
      <c r="B83" s="380">
        <v>8</v>
      </c>
      <c r="C83" s="380">
        <v>10</v>
      </c>
      <c r="E83" s="90" t="s">
        <v>42</v>
      </c>
      <c r="F83" s="380"/>
      <c r="G83" s="380">
        <v>1650</v>
      </c>
      <c r="H83" s="90" t="s">
        <v>43</v>
      </c>
      <c r="I83" s="384"/>
      <c r="J83" s="384" t="s">
        <v>44</v>
      </c>
    </row>
    <row r="84" spans="1:11">
      <c r="A84" s="90" t="s">
        <v>54</v>
      </c>
      <c r="B84" s="380">
        <v>250</v>
      </c>
      <c r="C84" s="380">
        <v>300</v>
      </c>
      <c r="E84" s="90" t="s">
        <v>29</v>
      </c>
      <c r="F84" s="384"/>
      <c r="G84" s="384" t="s">
        <v>50</v>
      </c>
    </row>
    <row r="85" spans="1:11">
      <c r="A85" s="90" t="s">
        <v>58</v>
      </c>
      <c r="B85" s="380">
        <v>10</v>
      </c>
      <c r="C85" s="380">
        <v>20</v>
      </c>
      <c r="E85" s="90" t="s">
        <v>43</v>
      </c>
      <c r="F85" s="383"/>
      <c r="G85" s="383" t="s">
        <v>52</v>
      </c>
    </row>
    <row r="86" spans="1:11">
      <c r="A86" s="90" t="s">
        <v>61</v>
      </c>
      <c r="B86" s="380"/>
      <c r="C86" s="380">
        <v>10000</v>
      </c>
      <c r="E86" s="90" t="s">
        <v>55</v>
      </c>
      <c r="G86" s="90" t="s">
        <v>56</v>
      </c>
    </row>
    <row r="87" spans="1:11">
      <c r="A87" s="90" t="s">
        <v>62</v>
      </c>
      <c r="B87" s="380"/>
      <c r="C87" s="380">
        <v>20000</v>
      </c>
      <c r="E87" s="90" t="s">
        <v>59</v>
      </c>
      <c r="G87" s="90" t="s">
        <v>60</v>
      </c>
    </row>
    <row r="88" spans="1:11">
      <c r="A88" s="90" t="s">
        <v>63</v>
      </c>
      <c r="B88" s="380"/>
      <c r="C88" s="380">
        <v>35000</v>
      </c>
    </row>
    <row r="89" spans="1:11" ht="15.6">
      <c r="A89" s="90" t="s">
        <v>64</v>
      </c>
      <c r="B89" s="90">
        <v>200</v>
      </c>
      <c r="C89" s="90">
        <v>225</v>
      </c>
      <c r="D89" s="379"/>
      <c r="E89" s="379"/>
      <c r="F89" s="379"/>
      <c r="G89" s="379"/>
      <c r="H89" s="379"/>
      <c r="I89" s="379"/>
      <c r="J89" s="379"/>
      <c r="K89" s="3"/>
    </row>
    <row r="90" spans="1:11" ht="15.6">
      <c r="A90" s="90" t="s">
        <v>65</v>
      </c>
      <c r="B90" s="90">
        <v>275</v>
      </c>
      <c r="C90" s="90">
        <v>350</v>
      </c>
      <c r="D90" s="386" t="s">
        <v>5</v>
      </c>
      <c r="E90" s="386"/>
      <c r="F90" s="393" t="s">
        <v>6</v>
      </c>
      <c r="G90" s="393"/>
      <c r="H90" s="393" t="s">
        <v>7</v>
      </c>
      <c r="I90" s="393"/>
      <c r="J90" s="393"/>
      <c r="K90" s="385"/>
    </row>
    <row r="91" spans="1:11" ht="15.6">
      <c r="K91" s="3"/>
    </row>
    <row r="92" spans="1:11" ht="15.6">
      <c r="D92" s="90" t="s">
        <v>13</v>
      </c>
      <c r="E92" s="380">
        <v>42</v>
      </c>
      <c r="F92" s="90" t="s">
        <v>14</v>
      </c>
      <c r="G92" s="380">
        <v>9.94</v>
      </c>
      <c r="H92" s="90" t="s">
        <v>15</v>
      </c>
      <c r="J92" s="380">
        <v>118.92</v>
      </c>
      <c r="K92" s="6"/>
    </row>
    <row r="93" spans="1:11" ht="15.6">
      <c r="D93" s="90" t="s">
        <v>22</v>
      </c>
      <c r="E93" s="383">
        <v>5.8999999999999997E-2</v>
      </c>
      <c r="F93" s="90" t="s">
        <v>22</v>
      </c>
      <c r="G93" s="383" t="s">
        <v>24</v>
      </c>
      <c r="H93" s="90" t="s">
        <v>22</v>
      </c>
      <c r="J93" s="383" t="s">
        <v>25</v>
      </c>
      <c r="K93" s="9"/>
    </row>
    <row r="94" spans="1:11" ht="15.6">
      <c r="D94" s="90" t="s">
        <v>29</v>
      </c>
      <c r="E94" s="383">
        <v>5.8000000000000003E-2</v>
      </c>
      <c r="F94" s="90" t="s">
        <v>29</v>
      </c>
      <c r="G94" s="383">
        <v>3.7999999999999999E-2</v>
      </c>
      <c r="H94" s="90" t="s">
        <v>30</v>
      </c>
      <c r="J94" s="383">
        <v>0.3</v>
      </c>
      <c r="K94" s="9"/>
    </row>
    <row r="95" spans="1:11" ht="15.6">
      <c r="D95" s="90" t="s">
        <v>34</v>
      </c>
      <c r="E95" s="384" t="s">
        <v>36</v>
      </c>
      <c r="F95" s="90" t="s">
        <v>34</v>
      </c>
      <c r="G95" s="384" t="s">
        <v>37</v>
      </c>
      <c r="H95" s="90" t="s">
        <v>38</v>
      </c>
      <c r="J95" s="384" t="s">
        <v>39</v>
      </c>
      <c r="K95" s="259"/>
    </row>
    <row r="96" spans="1:11" ht="15.6">
      <c r="D96" s="90" t="s">
        <v>43</v>
      </c>
      <c r="E96" s="384" t="s">
        <v>45</v>
      </c>
      <c r="F96" s="90" t="s">
        <v>43</v>
      </c>
      <c r="G96" s="384" t="s">
        <v>46</v>
      </c>
      <c r="H96" s="90" t="s">
        <v>43</v>
      </c>
      <c r="J96" s="384" t="s">
        <v>47</v>
      </c>
      <c r="K96" s="259"/>
    </row>
    <row r="97" spans="6:12" ht="15">
      <c r="F97" s="387"/>
      <c r="G97" s="388"/>
      <c r="H97" s="388"/>
      <c r="I97" s="388"/>
      <c r="J97" s="388"/>
      <c r="K97" s="269"/>
    </row>
    <row r="98" spans="6:12" ht="15">
      <c r="F98" s="387"/>
      <c r="G98" s="388"/>
      <c r="H98" s="388" t="s">
        <v>53</v>
      </c>
      <c r="I98" s="388"/>
      <c r="J98" s="388"/>
      <c r="K98" s="269"/>
    </row>
    <row r="99" spans="6:12" ht="15">
      <c r="F99" s="389"/>
      <c r="H99" s="90" t="s">
        <v>57</v>
      </c>
      <c r="K99" s="270"/>
    </row>
    <row r="100" spans="6:12" ht="15">
      <c r="G100" s="387"/>
      <c r="H100" s="388"/>
      <c r="I100" s="388"/>
      <c r="J100" s="388"/>
      <c r="K100" s="269"/>
      <c r="L100" s="269"/>
    </row>
  </sheetData>
  <mergeCells count="12">
    <mergeCell ref="C2:D2"/>
    <mergeCell ref="A43:E43"/>
    <mergeCell ref="F43:J43"/>
    <mergeCell ref="A19:C19"/>
    <mergeCell ref="A4:H4"/>
    <mergeCell ref="E18:F18"/>
    <mergeCell ref="G14:H14"/>
    <mergeCell ref="F90:G90"/>
    <mergeCell ref="H90:J90"/>
    <mergeCell ref="A76:B76"/>
    <mergeCell ref="E77:F77"/>
    <mergeCell ref="H77:I77"/>
  </mergeCells>
  <pageMargins left="0.7" right="0.7" top="0.75" bottom="0.75" header="0.3" footer="0.3"/>
  <pageSetup paperSize="3" scale="46" fitToWidth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U37"/>
  <sheetViews>
    <sheetView showGridLines="0" topLeftCell="A12" zoomScale="85" zoomScaleNormal="85" workbookViewId="0">
      <selection activeCell="M19" sqref="M19"/>
    </sheetView>
  </sheetViews>
  <sheetFormatPr defaultColWidth="8.85546875" defaultRowHeight="23.25" customHeight="1"/>
  <cols>
    <col min="1" max="1" width="8.85546875" style="13"/>
    <col min="2" max="3" width="18" style="13" bestFit="1" customWidth="1"/>
    <col min="4" max="4" width="15" style="13" bestFit="1" customWidth="1"/>
    <col min="5" max="5" width="21" style="13" customWidth="1"/>
    <col min="6" max="6" width="19.140625" style="13" customWidth="1"/>
    <col min="7" max="7" width="25.140625" style="13" bestFit="1" customWidth="1"/>
    <col min="8" max="8" width="15" style="13" bestFit="1" customWidth="1"/>
    <col min="9" max="10" width="20.42578125" style="13" bestFit="1" customWidth="1"/>
    <col min="11" max="11" width="19.85546875" style="13" bestFit="1" customWidth="1"/>
    <col min="12" max="12" width="20.42578125" style="13" bestFit="1" customWidth="1"/>
    <col min="13" max="13" width="18" style="13" customWidth="1"/>
    <col min="14" max="14" width="14.5703125" style="13" bestFit="1" customWidth="1"/>
    <col min="15" max="15" width="14.85546875" style="13" customWidth="1"/>
    <col min="16" max="16" width="20.42578125" style="13" bestFit="1" customWidth="1"/>
    <col min="17" max="17" width="20.5703125" style="13" bestFit="1" customWidth="1"/>
    <col min="18" max="18" width="17" style="13" bestFit="1" customWidth="1"/>
    <col min="19" max="19" width="17" style="13" customWidth="1"/>
    <col min="20" max="20" width="22.140625" style="13" customWidth="1"/>
    <col min="21" max="16384" width="8.85546875" style="13"/>
  </cols>
  <sheetData>
    <row r="1" spans="1:21" ht="23.25" customHeight="1">
      <c r="B1" s="431" t="s">
        <v>169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3"/>
      <c r="O1" s="198"/>
      <c r="P1" s="198"/>
      <c r="Q1" s="198"/>
      <c r="R1" s="198"/>
    </row>
    <row r="2" spans="1:21" ht="23.25" customHeight="1" thickBot="1">
      <c r="B2" s="434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6"/>
      <c r="O2" s="199"/>
      <c r="U2" s="87"/>
    </row>
    <row r="3" spans="1:21" ht="41.45">
      <c r="A3" s="563"/>
      <c r="B3" s="314" t="s">
        <v>170</v>
      </c>
      <c r="C3" s="315" t="s">
        <v>171</v>
      </c>
      <c r="D3" s="315" t="s">
        <v>172</v>
      </c>
      <c r="E3" s="316" t="s">
        <v>173</v>
      </c>
      <c r="F3" s="317" t="s">
        <v>174</v>
      </c>
      <c r="G3" s="318" t="s">
        <v>175</v>
      </c>
      <c r="H3" s="315" t="s">
        <v>176</v>
      </c>
      <c r="I3" s="316" t="s">
        <v>177</v>
      </c>
      <c r="J3" s="315" t="s">
        <v>178</v>
      </c>
      <c r="K3" s="315" t="s">
        <v>179</v>
      </c>
      <c r="L3" s="317" t="s">
        <v>180</v>
      </c>
      <c r="M3" s="319" t="s">
        <v>181</v>
      </c>
      <c r="N3" s="320" t="s">
        <v>182</v>
      </c>
      <c r="S3" s="197"/>
    </row>
    <row r="4" spans="1:21" ht="51.75" customHeight="1">
      <c r="A4" s="13">
        <v>1</v>
      </c>
      <c r="B4" s="564" t="str">
        <f>'A Financial'!D2</f>
        <v>Railway Commercial</v>
      </c>
      <c r="C4" s="565">
        <v>400000217</v>
      </c>
      <c r="D4" s="566">
        <v>482644.8</v>
      </c>
      <c r="E4" s="567" t="str">
        <f>'Types of Development'!E5</f>
        <v>Suburban retail/office</v>
      </c>
      <c r="F4" s="568" t="s">
        <v>183</v>
      </c>
      <c r="G4" s="569">
        <f>'A Financial'!B17</f>
        <v>120000</v>
      </c>
      <c r="H4" s="570" t="s">
        <v>184</v>
      </c>
      <c r="I4" s="571">
        <f>'A Financial'!D43</f>
        <v>58939384.615384616</v>
      </c>
      <c r="J4" s="571">
        <f>'A Financial'!C68</f>
        <v>46720815.705885731</v>
      </c>
      <c r="K4" s="572">
        <f>'A Financial'!B79</f>
        <v>14016244.711765721</v>
      </c>
      <c r="L4" s="572">
        <f>'A Financial'!B78</f>
        <v>32704570.994120009</v>
      </c>
      <c r="M4" s="573">
        <f>IF('A Financial'!B72&gt;0,0,'A Financial'!B72)</f>
        <v>0</v>
      </c>
      <c r="N4" s="574">
        <f>'A Financial'!B97</f>
        <v>0.22291471156776899</v>
      </c>
    </row>
    <row r="5" spans="1:21" ht="15">
      <c r="A5" s="13">
        <v>2</v>
      </c>
      <c r="B5" s="575" t="str">
        <f>'B Financial'!D2</f>
        <v>Hotel &amp; Library</v>
      </c>
      <c r="C5" s="576">
        <v>400000047</v>
      </c>
      <c r="D5" s="577">
        <f>282704.4+306226.8</f>
        <v>588931.19999999995</v>
      </c>
      <c r="E5" s="578" t="str">
        <f>'Types of Development'!C11</f>
        <v>Type I-high density</v>
      </c>
      <c r="F5" s="579" t="s">
        <v>185</v>
      </c>
      <c r="G5" s="580">
        <f>'B Financial'!B17</f>
        <v>210000</v>
      </c>
      <c r="H5" s="581" t="s">
        <v>184</v>
      </c>
      <c r="I5" s="582">
        <f>'B Financial'!D42+'B Financial'!D48</f>
        <v>163554363.07692307</v>
      </c>
      <c r="J5" s="582">
        <f>'B Financial'!C73</f>
        <v>120352958.8466309</v>
      </c>
      <c r="K5" s="583">
        <f>'B Financial'!B84</f>
        <v>36105887.653989278</v>
      </c>
      <c r="L5" s="583">
        <f>'B Financial'!B83</f>
        <v>84247071.192641631</v>
      </c>
      <c r="M5" s="583">
        <f>IF('B Financial'!B77&gt;0,0,'B Financial'!B77)</f>
        <v>0</v>
      </c>
      <c r="N5" s="584">
        <f>'B Financial'!B75</f>
        <v>0.35895589642581971</v>
      </c>
    </row>
    <row r="6" spans="1:21" ht="42.75" customHeight="1">
      <c r="A6" s="13">
        <v>7</v>
      </c>
      <c r="B6" s="441"/>
      <c r="C6" s="576">
        <v>400000058</v>
      </c>
      <c r="D6" s="407"/>
      <c r="E6" s="437"/>
      <c r="F6" s="411"/>
      <c r="G6" s="438"/>
      <c r="H6" s="415"/>
      <c r="I6" s="405"/>
      <c r="J6" s="405"/>
      <c r="K6" s="417"/>
      <c r="L6" s="417"/>
      <c r="M6" s="417"/>
      <c r="N6" s="442"/>
    </row>
    <row r="7" spans="1:21" ht="28.5" customHeight="1">
      <c r="A7" s="13">
        <v>3</v>
      </c>
      <c r="B7" s="585" t="s">
        <v>186</v>
      </c>
      <c r="C7" s="586">
        <v>400000065</v>
      </c>
      <c r="D7" s="577">
        <f>470448+58806</f>
        <v>529254</v>
      </c>
      <c r="E7" s="587" t="str">
        <f>'Types of Development'!E4</f>
        <v>RES-Market-MU-Rental</v>
      </c>
      <c r="F7" s="588">
        <f>'C Financial'!B10</f>
        <v>400</v>
      </c>
      <c r="G7" s="589">
        <f>IF('C Financial'!B14=0,"No Retail",'C Financial'!B14)</f>
        <v>119000</v>
      </c>
      <c r="H7" s="581" t="s">
        <v>187</v>
      </c>
      <c r="I7" s="583">
        <f>'C Financial'!D42</f>
        <v>210799200</v>
      </c>
      <c r="J7" s="583">
        <f>'C Financial'!C67</f>
        <v>146839633.454209</v>
      </c>
      <c r="K7" s="583">
        <f>'C Financial'!B78</f>
        <v>44052000</v>
      </c>
      <c r="L7" s="583">
        <f>'C Financial'!B77</f>
        <v>102788000</v>
      </c>
      <c r="M7" s="583">
        <f>IF('C Financial'!B71&gt;0,0,'C Financial'!B71)</f>
        <v>0</v>
      </c>
      <c r="N7" s="590">
        <f>'C Financial'!B96</f>
        <v>0.32655743102143009</v>
      </c>
    </row>
    <row r="8" spans="1:21" ht="15">
      <c r="A8" s="13">
        <v>4</v>
      </c>
      <c r="B8" s="439"/>
      <c r="C8" s="586">
        <v>400000218</v>
      </c>
      <c r="D8" s="406"/>
      <c r="E8" s="408"/>
      <c r="F8" s="410"/>
      <c r="G8" s="412"/>
      <c r="H8" s="414"/>
      <c r="I8" s="416"/>
      <c r="J8" s="416"/>
      <c r="K8" s="416"/>
      <c r="L8" s="416"/>
      <c r="M8" s="416"/>
      <c r="N8" s="403"/>
    </row>
    <row r="9" spans="1:21" ht="42" customHeight="1">
      <c r="A9" s="13">
        <v>5</v>
      </c>
      <c r="B9" s="439"/>
      <c r="C9" s="591">
        <v>400000086</v>
      </c>
      <c r="D9" s="406"/>
      <c r="E9" s="408"/>
      <c r="F9" s="410"/>
      <c r="G9" s="412"/>
      <c r="H9" s="414"/>
      <c r="I9" s="416"/>
      <c r="J9" s="416"/>
      <c r="K9" s="416"/>
      <c r="L9" s="416"/>
      <c r="M9" s="416"/>
      <c r="N9" s="403"/>
      <c r="P9" s="377"/>
    </row>
    <row r="10" spans="1:21" ht="15">
      <c r="A10" s="13">
        <v>6</v>
      </c>
      <c r="B10" s="439"/>
      <c r="C10" s="586">
        <v>400000071</v>
      </c>
      <c r="D10" s="406"/>
      <c r="E10" s="408"/>
      <c r="F10" s="410"/>
      <c r="G10" s="412"/>
      <c r="H10" s="414"/>
      <c r="I10" s="416"/>
      <c r="J10" s="416"/>
      <c r="K10" s="416"/>
      <c r="L10" s="416"/>
      <c r="M10" s="416"/>
      <c r="N10" s="403"/>
    </row>
    <row r="11" spans="1:21" ht="42.75" customHeight="1">
      <c r="A11" s="13">
        <v>12</v>
      </c>
      <c r="B11" s="440"/>
      <c r="C11" s="592">
        <v>400000072</v>
      </c>
      <c r="D11" s="407"/>
      <c r="E11" s="409"/>
      <c r="F11" s="411"/>
      <c r="G11" s="413"/>
      <c r="H11" s="415"/>
      <c r="I11" s="417"/>
      <c r="J11" s="417"/>
      <c r="K11" s="417"/>
      <c r="L11" s="417"/>
      <c r="M11" s="417"/>
      <c r="N11" s="404"/>
    </row>
    <row r="12" spans="1:21" ht="42.75" customHeight="1">
      <c r="A12" s="13">
        <v>8</v>
      </c>
      <c r="B12" s="585" t="str">
        <f>'D Financial'!D1</f>
        <v>Shopping Center &amp; Mixed Income Rentals</v>
      </c>
      <c r="C12" s="565">
        <v>400000109</v>
      </c>
      <c r="D12" s="593">
        <f>594158.4+3484.8+53578.8</f>
        <v>651222.00000000012</v>
      </c>
      <c r="E12" s="587" t="str">
        <f>'Types of Development'!E5</f>
        <v>Suburban retail/office</v>
      </c>
      <c r="F12" s="588">
        <f>'D Financial'!B10</f>
        <v>275</v>
      </c>
      <c r="G12" s="594">
        <f>'D Financial'!B16</f>
        <v>268200</v>
      </c>
      <c r="H12" s="581">
        <v>4</v>
      </c>
      <c r="I12" s="583">
        <f>'D Financial'!D42</f>
        <v>140023444.3661972</v>
      </c>
      <c r="J12" s="595">
        <f>'D Financial'!C67</f>
        <v>103769764.47981125</v>
      </c>
      <c r="K12" s="583">
        <f>'D Financial'!B78</f>
        <v>31131000</v>
      </c>
      <c r="L12" s="583">
        <f>'D Financial'!B77</f>
        <v>72639000</v>
      </c>
      <c r="M12" s="596">
        <f>IF('D Financial'!B69&gt;0,0,'D Financial'!B69)</f>
        <v>0</v>
      </c>
      <c r="N12" s="590">
        <f>'D Financial'!B69</f>
        <v>0.34936650447384632</v>
      </c>
    </row>
    <row r="13" spans="1:21" ht="42.75" customHeight="1">
      <c r="A13" s="13">
        <v>9</v>
      </c>
      <c r="B13" s="439"/>
      <c r="C13" s="565">
        <v>400000129</v>
      </c>
      <c r="D13" s="422"/>
      <c r="E13" s="408"/>
      <c r="F13" s="410"/>
      <c r="G13" s="424"/>
      <c r="H13" s="414"/>
      <c r="I13" s="416"/>
      <c r="J13" s="418"/>
      <c r="K13" s="416"/>
      <c r="L13" s="416"/>
      <c r="M13" s="420"/>
      <c r="N13" s="403"/>
    </row>
    <row r="14" spans="1:21" ht="42.75" customHeight="1">
      <c r="A14" s="13">
        <v>10</v>
      </c>
      <c r="B14" s="440"/>
      <c r="C14" s="565">
        <v>400000246</v>
      </c>
      <c r="D14" s="423"/>
      <c r="E14" s="409"/>
      <c r="F14" s="411"/>
      <c r="G14" s="425"/>
      <c r="H14" s="415"/>
      <c r="I14" s="417"/>
      <c r="J14" s="419"/>
      <c r="K14" s="417"/>
      <c r="L14" s="417"/>
      <c r="M14" s="421"/>
      <c r="N14" s="404"/>
    </row>
    <row r="15" spans="1:21" ht="42.75" customHeight="1">
      <c r="A15" s="13">
        <v>11</v>
      </c>
      <c r="B15" s="597" t="s">
        <v>188</v>
      </c>
      <c r="C15" s="598">
        <v>400000245</v>
      </c>
      <c r="D15" s="599">
        <v>393346.8</v>
      </c>
      <c r="E15" s="600" t="s">
        <v>189</v>
      </c>
      <c r="F15" s="601"/>
      <c r="G15" s="602"/>
      <c r="H15" s="603"/>
      <c r="I15" s="604"/>
      <c r="J15" s="605"/>
      <c r="K15" s="604"/>
      <c r="L15" s="604"/>
      <c r="M15" s="604"/>
      <c r="N15" s="606"/>
    </row>
    <row r="16" spans="1:21" ht="42.75" customHeight="1">
      <c r="A16" s="13">
        <v>13</v>
      </c>
      <c r="B16" s="607" t="s">
        <v>190</v>
      </c>
      <c r="C16" s="608">
        <v>400000040</v>
      </c>
      <c r="D16" s="609">
        <v>926085.6</v>
      </c>
      <c r="E16" s="610" t="s">
        <v>191</v>
      </c>
      <c r="F16" s="611"/>
      <c r="G16" s="612"/>
      <c r="H16" s="613"/>
      <c r="I16" s="614"/>
      <c r="J16" s="615"/>
      <c r="K16" s="614"/>
      <c r="L16" s="614"/>
      <c r="M16" s="614"/>
      <c r="N16" s="616"/>
    </row>
    <row r="17" spans="2:14" ht="30.6" customHeight="1" thickBot="1">
      <c r="B17" s="617" t="s">
        <v>192</v>
      </c>
      <c r="C17" s="313"/>
      <c r="D17" s="618">
        <f>SUM(D4:D16)</f>
        <v>3571484.4</v>
      </c>
      <c r="E17" s="619"/>
      <c r="F17" s="620">
        <f>SUM(F4:F16)+284+26</f>
        <v>985</v>
      </c>
      <c r="G17" s="621">
        <f>SUM(G4:G16)</f>
        <v>717200</v>
      </c>
      <c r="H17" s="619"/>
      <c r="I17" s="622">
        <f>SUM(I4:I16)</f>
        <v>573316392.05850494</v>
      </c>
      <c r="J17" s="622">
        <f>SUM(J4:J16)</f>
        <v>417683172.48653692</v>
      </c>
      <c r="K17" s="622">
        <f>SUM(K4:K16)</f>
        <v>125305132.36575499</v>
      </c>
      <c r="L17" s="622">
        <f>SUM(L4:L16)</f>
        <v>292378642.18676162</v>
      </c>
      <c r="M17" s="623">
        <f>SUM(M4:M16)</f>
        <v>0</v>
      </c>
      <c r="N17" s="624">
        <f ca="1">'All Components Draw'!B6</f>
        <v>0.28003753017987765</v>
      </c>
    </row>
    <row r="18" spans="2:14" ht="23.25" customHeight="1" thickBot="1">
      <c r="B18" s="426" t="s">
        <v>193</v>
      </c>
      <c r="C18" s="427"/>
      <c r="D18" s="427"/>
      <c r="E18" s="427"/>
      <c r="F18" s="427"/>
      <c r="G18" s="427"/>
      <c r="H18" s="427"/>
      <c r="I18" s="427"/>
      <c r="J18" s="427"/>
      <c r="K18" s="427"/>
      <c r="L18" s="237"/>
    </row>
    <row r="19" spans="2:14" ht="41.45">
      <c r="B19" s="300" t="s">
        <v>194</v>
      </c>
      <c r="C19" s="301" t="s">
        <v>195</v>
      </c>
      <c r="D19" s="302" t="s">
        <v>196</v>
      </c>
      <c r="E19" s="302" t="s">
        <v>197</v>
      </c>
      <c r="F19" s="302" t="s">
        <v>198</v>
      </c>
      <c r="G19" s="303" t="s">
        <v>199</v>
      </c>
      <c r="H19" s="238"/>
      <c r="I19" s="238"/>
      <c r="J19" s="238"/>
      <c r="K19" s="238"/>
      <c r="L19" s="238"/>
    </row>
    <row r="20" spans="2:14" ht="27.6">
      <c r="B20" s="625" t="s">
        <v>200</v>
      </c>
      <c r="C20" s="626">
        <f>30*20000</f>
        <v>600000</v>
      </c>
      <c r="D20" s="626">
        <v>100000</v>
      </c>
      <c r="E20" s="626">
        <f>C20-D20-F20</f>
        <v>350000</v>
      </c>
      <c r="F20" s="626">
        <f>C20/4</f>
        <v>150000</v>
      </c>
      <c r="G20" s="627">
        <v>0</v>
      </c>
      <c r="H20" s="239"/>
      <c r="I20" s="239"/>
      <c r="J20" s="239"/>
      <c r="K20" s="239"/>
      <c r="L20" s="239"/>
    </row>
    <row r="21" spans="2:14" ht="13.9">
      <c r="B21" s="625" t="s">
        <v>201</v>
      </c>
      <c r="C21" s="626">
        <f>430000*10</f>
        <v>4300000</v>
      </c>
      <c r="D21" s="626">
        <v>10000</v>
      </c>
      <c r="E21" s="626">
        <f>C21-D21-F21</f>
        <v>3215000</v>
      </c>
      <c r="F21" s="626">
        <f>C21/4</f>
        <v>1075000</v>
      </c>
      <c r="G21" s="627">
        <v>0</v>
      </c>
      <c r="H21" s="239"/>
      <c r="I21" s="239"/>
      <c r="J21" s="239"/>
      <c r="K21" s="239"/>
      <c r="L21" s="239"/>
      <c r="M21" s="240"/>
    </row>
    <row r="22" spans="2:14" ht="13.9">
      <c r="B22" s="625"/>
      <c r="C22" s="628"/>
      <c r="D22" s="628"/>
      <c r="E22" s="628"/>
      <c r="F22" s="628"/>
      <c r="G22" s="629"/>
      <c r="H22" s="240"/>
      <c r="I22" s="240"/>
      <c r="J22" s="240"/>
      <c r="K22" s="240"/>
      <c r="L22" s="240"/>
    </row>
    <row r="23" spans="2:14" ht="14.45" thickBot="1">
      <c r="B23" s="630"/>
      <c r="C23" s="631"/>
      <c r="D23" s="631"/>
      <c r="E23" s="631"/>
      <c r="F23" s="631"/>
      <c r="G23" s="632"/>
      <c r="H23" s="240"/>
      <c r="I23" s="240"/>
      <c r="J23" s="240"/>
      <c r="K23" s="240"/>
      <c r="L23" s="240"/>
    </row>
    <row r="24" spans="2:14" ht="23.25" customHeight="1" thickTop="1" thickBot="1">
      <c r="B24" s="88" t="s">
        <v>202</v>
      </c>
      <c r="C24" s="89">
        <f>SUM(C20:C23)</f>
        <v>4900000</v>
      </c>
      <c r="D24" s="89">
        <f t="shared" ref="D24:G24" si="0">SUM(D20:D23)</f>
        <v>110000</v>
      </c>
      <c r="E24" s="89">
        <f t="shared" si="0"/>
        <v>3565000</v>
      </c>
      <c r="F24" s="89">
        <f t="shared" si="0"/>
        <v>1225000</v>
      </c>
      <c r="G24" s="89">
        <f t="shared" si="0"/>
        <v>0</v>
      </c>
      <c r="H24" s="239"/>
      <c r="I24" s="239"/>
      <c r="J24" s="239"/>
      <c r="K24" s="239"/>
      <c r="L24" s="239"/>
    </row>
    <row r="25" spans="2:14" ht="23.25" hidden="1" customHeight="1" thickTop="1" thickBot="1">
      <c r="B25" s="304"/>
      <c r="G25" s="305"/>
    </row>
    <row r="26" spans="2:14" ht="23.25" customHeight="1" thickBot="1">
      <c r="B26" s="428" t="s">
        <v>203</v>
      </c>
      <c r="C26" s="429"/>
      <c r="D26" s="429"/>
      <c r="E26" s="429"/>
      <c r="F26" s="430"/>
    </row>
    <row r="27" spans="2:14" ht="68.45" customHeight="1">
      <c r="B27" s="227" t="s">
        <v>170</v>
      </c>
      <c r="C27" s="228" t="s">
        <v>204</v>
      </c>
      <c r="D27" s="312" t="s">
        <v>205</v>
      </c>
      <c r="E27" s="228" t="s">
        <v>206</v>
      </c>
      <c r="F27" s="229" t="s">
        <v>207</v>
      </c>
    </row>
    <row r="28" spans="2:14" ht="35.1" customHeight="1">
      <c r="B28" s="633" t="str">
        <f>B4</f>
        <v>Railway Commercial</v>
      </c>
      <c r="C28" s="634" t="s">
        <v>208</v>
      </c>
      <c r="D28" s="635" t="s">
        <v>183</v>
      </c>
      <c r="E28" s="635" t="s">
        <v>209</v>
      </c>
      <c r="F28" s="636" t="s">
        <v>210</v>
      </c>
    </row>
    <row r="29" spans="2:14" ht="35.1" customHeight="1">
      <c r="B29" s="633" t="str">
        <f>B7</f>
        <v>South Mixed Use Site</v>
      </c>
      <c r="C29" s="634" t="s">
        <v>211</v>
      </c>
      <c r="D29" s="637" t="s">
        <v>212</v>
      </c>
      <c r="E29" s="635" t="s">
        <v>213</v>
      </c>
      <c r="F29" s="636" t="s">
        <v>214</v>
      </c>
    </row>
    <row r="30" spans="2:14" ht="35.1" customHeight="1">
      <c r="B30" s="638" t="str">
        <f>B5</f>
        <v>Hotel &amp; Library</v>
      </c>
      <c r="C30" s="634" t="s">
        <v>215</v>
      </c>
      <c r="D30" s="637" t="s">
        <v>216</v>
      </c>
      <c r="E30" s="635" t="s">
        <v>217</v>
      </c>
      <c r="F30" s="636" t="s">
        <v>218</v>
      </c>
    </row>
    <row r="31" spans="2:14" ht="41.45">
      <c r="B31" s="633" t="str">
        <f>B12</f>
        <v>Shopping Center &amp; Mixed Income Rentals</v>
      </c>
      <c r="C31" s="634" t="s">
        <v>219</v>
      </c>
      <c r="D31" s="637" t="s">
        <v>220</v>
      </c>
      <c r="E31" s="635" t="s">
        <v>221</v>
      </c>
      <c r="F31" s="636" t="s">
        <v>222</v>
      </c>
    </row>
    <row r="32" spans="2:14" ht="35.1" customHeight="1" thickBot="1">
      <c r="B32" s="639" t="str">
        <f>B16</f>
        <v>Component F
DOD Parcel</v>
      </c>
      <c r="C32" s="640"/>
      <c r="D32" s="641"/>
      <c r="E32" s="642"/>
      <c r="F32" s="643"/>
    </row>
    <row r="33" spans="2:6" ht="35.1" customHeight="1">
      <c r="B33" s="306"/>
      <c r="C33" s="307"/>
      <c r="D33" s="308"/>
      <c r="E33" s="308"/>
      <c r="F33" s="309"/>
    </row>
    <row r="34" spans="2:6" ht="23.45" customHeight="1">
      <c r="B34" s="306"/>
      <c r="C34" s="370"/>
      <c r="D34" s="308"/>
      <c r="E34" s="308"/>
      <c r="F34" s="309"/>
    </row>
    <row r="35" spans="2:6" ht="23.25" customHeight="1">
      <c r="B35" s="306"/>
      <c r="C35" s="369"/>
      <c r="D35" s="371"/>
      <c r="E35" s="308"/>
      <c r="F35" s="309"/>
    </row>
    <row r="36" spans="2:6" ht="23.25" customHeight="1">
      <c r="C36" s="371"/>
      <c r="D36" s="371"/>
      <c r="E36" s="308"/>
      <c r="F36" s="308"/>
    </row>
    <row r="37" spans="2:6" ht="23.25" customHeight="1">
      <c r="C37" s="310"/>
      <c r="D37" s="311"/>
      <c r="E37" s="311"/>
      <c r="F37" s="311"/>
    </row>
  </sheetData>
  <mergeCells count="39">
    <mergeCell ref="B18:K18"/>
    <mergeCell ref="B26:F26"/>
    <mergeCell ref="B1:N2"/>
    <mergeCell ref="D5:D6"/>
    <mergeCell ref="J5:J6"/>
    <mergeCell ref="K5:K6"/>
    <mergeCell ref="L5:L6"/>
    <mergeCell ref="M5:M6"/>
    <mergeCell ref="E5:E6"/>
    <mergeCell ref="F5:F6"/>
    <mergeCell ref="G5:G6"/>
    <mergeCell ref="H5:H6"/>
    <mergeCell ref="B12:B14"/>
    <mergeCell ref="B7:B11"/>
    <mergeCell ref="B5:B6"/>
    <mergeCell ref="N5:N6"/>
    <mergeCell ref="L12:L14"/>
    <mergeCell ref="M12:M14"/>
    <mergeCell ref="D12:D14"/>
    <mergeCell ref="E12:E14"/>
    <mergeCell ref="F12:F14"/>
    <mergeCell ref="G12:G14"/>
    <mergeCell ref="H12:H14"/>
    <mergeCell ref="N12:N14"/>
    <mergeCell ref="I5:I6"/>
    <mergeCell ref="D7:D11"/>
    <mergeCell ref="E7:E11"/>
    <mergeCell ref="F7:F11"/>
    <mergeCell ref="G7:G11"/>
    <mergeCell ref="H7:H11"/>
    <mergeCell ref="N7:N11"/>
    <mergeCell ref="I7:I11"/>
    <mergeCell ref="J7:J11"/>
    <mergeCell ref="K7:K11"/>
    <mergeCell ref="L7:L11"/>
    <mergeCell ref="M7:M11"/>
    <mergeCell ref="I12:I14"/>
    <mergeCell ref="J12:J14"/>
    <mergeCell ref="K12:K14"/>
  </mergeCells>
  <phoneticPr fontId="168" type="noConversion"/>
  <printOptions horizontalCentered="1" verticalCentered="1"/>
  <pageMargins left="0.7" right="0.7" top="0.75" bottom="0.75" header="0.3" footer="0.3"/>
  <pageSetup paperSize="3" scale="66" orientation="landscape" horizontalDpi="4294967292" verticalDpi="4294967292" r:id="rId1"/>
  <headerFooter>
    <oddHeader>&amp;C&amp;"Times New Roman Bold,Bold"&amp;14&amp;K000000INVESTOR SHEET</oddHeader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E8C2-2257-4B43-A4EE-DA28C5CEE083}">
  <sheetPr>
    <tabColor theme="2" tint="-0.249977111117893"/>
  </sheetPr>
  <dimension ref="B1:G12"/>
  <sheetViews>
    <sheetView workbookViewId="0">
      <selection activeCell="C12" sqref="C12"/>
    </sheetView>
  </sheetViews>
  <sheetFormatPr defaultRowHeight="14.45"/>
  <cols>
    <col min="2" max="4" width="22.85546875" customWidth="1"/>
    <col min="5" max="5" width="22.5703125" customWidth="1"/>
    <col min="6" max="6" width="19.85546875" customWidth="1"/>
    <col min="7" max="7" width="19.5703125" customWidth="1"/>
  </cols>
  <sheetData>
    <row r="1" spans="2:7" ht="15" thickBot="1"/>
    <row r="2" spans="2:7" ht="15" thickBot="1">
      <c r="B2" s="443" t="s">
        <v>223</v>
      </c>
      <c r="C2" s="444"/>
      <c r="D2" s="444"/>
      <c r="E2" s="444"/>
      <c r="F2" s="444"/>
      <c r="G2" s="445"/>
    </row>
    <row r="3" spans="2:7" ht="42">
      <c r="B3" s="201" t="s">
        <v>224</v>
      </c>
      <c r="C3" s="200" t="s">
        <v>225</v>
      </c>
      <c r="D3" s="200" t="s">
        <v>226</v>
      </c>
      <c r="E3" s="200" t="s">
        <v>227</v>
      </c>
      <c r="F3" s="202" t="s">
        <v>228</v>
      </c>
      <c r="G3" s="236" t="s">
        <v>229</v>
      </c>
    </row>
    <row r="4" spans="2:7" ht="45" customHeight="1">
      <c r="B4" s="644" t="s">
        <v>230</v>
      </c>
      <c r="C4" s="645" t="s">
        <v>231</v>
      </c>
      <c r="D4" s="646" t="s">
        <v>232</v>
      </c>
      <c r="E4" s="646" t="s">
        <v>233</v>
      </c>
      <c r="F4" s="647">
        <v>0.3</v>
      </c>
      <c r="G4" s="648" t="s">
        <v>234</v>
      </c>
    </row>
    <row r="5" spans="2:7" ht="45" customHeight="1">
      <c r="B5" s="644" t="s">
        <v>235</v>
      </c>
      <c r="C5" s="646" t="s">
        <v>236</v>
      </c>
      <c r="D5" s="646" t="s">
        <v>237</v>
      </c>
      <c r="E5" s="645" t="s">
        <v>238</v>
      </c>
      <c r="F5" s="649">
        <v>0.2</v>
      </c>
      <c r="G5" s="650" t="s">
        <v>239</v>
      </c>
    </row>
    <row r="6" spans="2:7" ht="64.7" customHeight="1">
      <c r="B6" s="644" t="s">
        <v>240</v>
      </c>
      <c r="C6" s="646" t="s">
        <v>241</v>
      </c>
      <c r="D6" s="646" t="s">
        <v>242</v>
      </c>
      <c r="E6" s="645" t="s">
        <v>4</v>
      </c>
      <c r="F6" s="649">
        <v>0.3</v>
      </c>
      <c r="G6" s="650" t="s">
        <v>234</v>
      </c>
    </row>
    <row r="7" spans="2:7" ht="45" customHeight="1">
      <c r="B7" s="644" t="s">
        <v>243</v>
      </c>
      <c r="C7" s="646" t="s">
        <v>241</v>
      </c>
      <c r="D7" s="646" t="s">
        <v>237</v>
      </c>
      <c r="E7" s="646" t="s">
        <v>244</v>
      </c>
      <c r="F7" s="647" t="s">
        <v>245</v>
      </c>
      <c r="G7" s="648" t="s">
        <v>246</v>
      </c>
    </row>
    <row r="8" spans="2:7" ht="45" customHeight="1">
      <c r="B8" s="644" t="s">
        <v>247</v>
      </c>
      <c r="C8" s="646" t="s">
        <v>248</v>
      </c>
      <c r="D8" s="646" t="s">
        <v>237</v>
      </c>
      <c r="E8" s="645" t="s">
        <v>249</v>
      </c>
      <c r="F8" s="647" t="s">
        <v>250</v>
      </c>
      <c r="G8" s="651" t="s">
        <v>251</v>
      </c>
    </row>
    <row r="9" spans="2:7" ht="45" customHeight="1">
      <c r="B9" s="644" t="s">
        <v>252</v>
      </c>
      <c r="C9" s="645" t="s">
        <v>253</v>
      </c>
      <c r="D9" s="646" t="s">
        <v>237</v>
      </c>
      <c r="E9" s="645" t="s">
        <v>254</v>
      </c>
      <c r="F9" s="649">
        <v>0.3</v>
      </c>
      <c r="G9" s="650" t="s">
        <v>234</v>
      </c>
    </row>
    <row r="10" spans="2:7" ht="45" customHeight="1" thickBot="1">
      <c r="B10" s="652" t="s">
        <v>255</v>
      </c>
      <c r="C10" s="653" t="s">
        <v>248</v>
      </c>
      <c r="D10" s="653" t="s">
        <v>237</v>
      </c>
      <c r="E10" s="654" t="s">
        <v>256</v>
      </c>
      <c r="F10" s="655">
        <v>0.3</v>
      </c>
      <c r="G10" s="656" t="s">
        <v>234</v>
      </c>
    </row>
    <row r="11" spans="2:7" ht="37.35" customHeight="1" thickBot="1">
      <c r="B11" s="657" t="s">
        <v>257</v>
      </c>
      <c r="C11" s="653" t="s">
        <v>258</v>
      </c>
      <c r="D11" s="653" t="s">
        <v>242</v>
      </c>
      <c r="E11" s="654" t="s">
        <v>259</v>
      </c>
      <c r="F11" s="655">
        <v>0.3</v>
      </c>
      <c r="G11" s="656" t="s">
        <v>234</v>
      </c>
    </row>
    <row r="12" spans="2:7" ht="63" customHeight="1" thickBot="1">
      <c r="B12" s="657" t="s">
        <v>260</v>
      </c>
      <c r="C12" s="653" t="s">
        <v>261</v>
      </c>
      <c r="D12" s="653" t="s">
        <v>262</v>
      </c>
      <c r="E12" s="654" t="s">
        <v>48</v>
      </c>
      <c r="F12" s="658" t="s">
        <v>263</v>
      </c>
      <c r="G12" s="648" t="s">
        <v>246</v>
      </c>
    </row>
  </sheetData>
  <mergeCells count="1">
    <mergeCell ref="B2:G2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2287-3E5C-4F33-AA71-912F767EADC7}">
  <sheetPr>
    <tabColor theme="6" tint="-0.249977111117893"/>
    <pageSetUpPr fitToPage="1"/>
  </sheetPr>
  <dimension ref="A1:H100"/>
  <sheetViews>
    <sheetView showGridLines="0" workbookViewId="0">
      <selection activeCell="H24" sqref="H24"/>
    </sheetView>
  </sheetViews>
  <sheetFormatPr defaultColWidth="8.85546875" defaultRowHeight="23.25" customHeight="1"/>
  <cols>
    <col min="1" max="1" width="36.5703125" style="18" bestFit="1" customWidth="1"/>
    <col min="2" max="2" width="27" style="18" bestFit="1" customWidth="1"/>
    <col min="3" max="3" width="22.42578125" style="18" bestFit="1" customWidth="1"/>
    <col min="4" max="4" width="13.140625" style="18" customWidth="1"/>
    <col min="5" max="5" width="21.5703125" style="18" customWidth="1"/>
    <col min="6" max="6" width="26.140625" style="18" customWidth="1"/>
    <col min="7" max="7" width="13.140625" style="18" bestFit="1" customWidth="1"/>
    <col min="8" max="8" width="24.5703125" style="18" customWidth="1"/>
    <col min="9" max="9" width="32.42578125" style="18" customWidth="1"/>
    <col min="10" max="10" width="20.140625" style="18" customWidth="1"/>
    <col min="11" max="16384" width="8.85546875" style="18"/>
  </cols>
  <sheetData>
    <row r="1" spans="1:7" ht="23.25" customHeight="1" thickBot="1">
      <c r="A1" s="14"/>
      <c r="B1" s="15"/>
      <c r="C1" s="16"/>
      <c r="D1" s="17"/>
    </row>
    <row r="2" spans="1:7" ht="23.25" customHeight="1" thickBot="1">
      <c r="A2" s="447" t="s">
        <v>264</v>
      </c>
      <c r="B2" s="448"/>
      <c r="C2" s="448"/>
      <c r="D2" s="446" t="s">
        <v>265</v>
      </c>
      <c r="E2" s="446"/>
    </row>
    <row r="3" spans="1:7" ht="23.25" customHeight="1">
      <c r="A3" s="19"/>
      <c r="B3" s="20"/>
      <c r="C3" s="20"/>
      <c r="D3" s="659">
        <v>0</v>
      </c>
      <c r="E3" s="660" t="s">
        <v>266</v>
      </c>
    </row>
    <row r="4" spans="1:7" ht="26.45">
      <c r="A4" s="21" t="s">
        <v>267</v>
      </c>
      <c r="B4" s="22" t="s">
        <v>268</v>
      </c>
      <c r="C4" s="60" t="s">
        <v>269</v>
      </c>
      <c r="D4" s="22" t="s">
        <v>270</v>
      </c>
      <c r="E4" s="23" t="s">
        <v>271</v>
      </c>
    </row>
    <row r="5" spans="1:7" ht="23.25" customHeight="1">
      <c r="A5" s="661" t="s">
        <v>272</v>
      </c>
      <c r="B5" s="662"/>
      <c r="C5" s="663"/>
      <c r="D5" s="664"/>
      <c r="E5" s="665">
        <f>12*B5*C5*D5</f>
        <v>0</v>
      </c>
    </row>
    <row r="6" spans="1:7" ht="23.25" hidden="1" customHeight="1">
      <c r="A6" s="661" t="s">
        <v>273</v>
      </c>
      <c r="B6" s="662">
        <v>0</v>
      </c>
      <c r="C6" s="663">
        <f>Assumptions!C10</f>
        <v>650</v>
      </c>
      <c r="D6" s="664">
        <f>Assumptions!C11*(1+D$3)</f>
        <v>2.0499999999999998</v>
      </c>
      <c r="E6" s="665">
        <f>12*B6*C6*D6</f>
        <v>0</v>
      </c>
    </row>
    <row r="7" spans="1:7" ht="13.15" hidden="1">
      <c r="A7" s="332" t="s">
        <v>274</v>
      </c>
      <c r="B7" s="333">
        <v>0</v>
      </c>
      <c r="C7" s="334">
        <f>Assumptions!C13</f>
        <v>1000</v>
      </c>
      <c r="D7" s="664">
        <f>Assumptions!C14*(1+D$3)</f>
        <v>1.65</v>
      </c>
      <c r="E7" s="665">
        <f t="shared" ref="E7" si="0">12*B7*C7*D7</f>
        <v>0</v>
      </c>
    </row>
    <row r="8" spans="1:7" ht="13.9" hidden="1" thickBot="1">
      <c r="A8" s="332" t="s">
        <v>275</v>
      </c>
      <c r="B8" s="662">
        <v>0</v>
      </c>
      <c r="C8" s="663">
        <f>Assumptions!C16</f>
        <v>1400</v>
      </c>
      <c r="D8" s="664">
        <f>Assumptions!C17*(1+D$3)</f>
        <v>1.1785714285714286</v>
      </c>
      <c r="E8" s="665">
        <f>12*B8*C8*D8</f>
        <v>0</v>
      </c>
    </row>
    <row r="9" spans="1:7" ht="13.15" hidden="1">
      <c r="A9" s="332"/>
      <c r="B9" s="663"/>
      <c r="C9" s="663"/>
      <c r="D9" s="666"/>
      <c r="E9" s="665"/>
    </row>
    <row r="10" spans="1:7" ht="13.9" thickBot="1">
      <c r="A10" s="332"/>
      <c r="B10" s="663"/>
      <c r="C10" s="663"/>
      <c r="D10" s="666"/>
      <c r="E10" s="667"/>
    </row>
    <row r="11" spans="1:7" ht="14.45" thickTop="1" thickBot="1">
      <c r="A11" s="24" t="s">
        <v>276</v>
      </c>
      <c r="B11" s="25">
        <f>SUM(B5:B10)</f>
        <v>0</v>
      </c>
      <c r="C11" s="26">
        <f>B5*C5+B6*C6+B7*C7+B8*C8+B9*C9+B10*C10</f>
        <v>0</v>
      </c>
      <c r="D11" s="27"/>
      <c r="E11" s="668">
        <f>SUM(E5:E10)</f>
        <v>0</v>
      </c>
    </row>
    <row r="12" spans="1:7" ht="14.45" thickTop="1" thickBot="1">
      <c r="A12" s="28" t="s">
        <v>277</v>
      </c>
      <c r="B12" s="29"/>
      <c r="C12" s="30" t="str">
        <f>IFERROR(C11/B11,"0")</f>
        <v>0</v>
      </c>
      <c r="D12" s="31" t="str">
        <f>IFERROR((E11/12)/C11,"0")</f>
        <v>0</v>
      </c>
      <c r="E12" s="32"/>
    </row>
    <row r="13" spans="1:7" ht="13.15">
      <c r="A13" s="33"/>
      <c r="B13" s="34"/>
      <c r="C13" s="35"/>
      <c r="D13" s="36"/>
      <c r="F13" s="321"/>
      <c r="G13" s="321"/>
    </row>
    <row r="14" spans="1:7" ht="13.15">
      <c r="A14" s="21" t="s">
        <v>278</v>
      </c>
      <c r="B14" s="22" t="s">
        <v>279</v>
      </c>
      <c r="C14" s="22" t="s">
        <v>280</v>
      </c>
      <c r="D14" s="22" t="s">
        <v>271</v>
      </c>
      <c r="F14" s="321"/>
      <c r="G14" s="321"/>
    </row>
    <row r="15" spans="1:7" ht="13.15">
      <c r="A15" s="669" t="s">
        <v>5</v>
      </c>
      <c r="B15" s="670">
        <v>60000</v>
      </c>
      <c r="C15" s="671">
        <f>Assumptions!F11</f>
        <v>42</v>
      </c>
      <c r="D15" s="672">
        <f>B15*C15</f>
        <v>2520000</v>
      </c>
      <c r="F15" s="321">
        <v>6.5</v>
      </c>
      <c r="G15" s="321"/>
    </row>
    <row r="16" spans="1:7" ht="13.9" thickBot="1">
      <c r="A16" s="673" t="s">
        <v>4</v>
      </c>
      <c r="B16" s="674">
        <v>60000</v>
      </c>
      <c r="C16" s="675">
        <v>31</v>
      </c>
      <c r="D16" s="676">
        <f>B16*C16</f>
        <v>1860000</v>
      </c>
      <c r="F16" s="321">
        <v>7.1</v>
      </c>
      <c r="G16" s="321"/>
    </row>
    <row r="17" spans="1:8" ht="14.45" thickTop="1" thickBot="1">
      <c r="A17" s="37" t="s">
        <v>281</v>
      </c>
      <c r="B17" s="677">
        <f>SUM(B15:B16)</f>
        <v>120000</v>
      </c>
      <c r="C17" s="38">
        <f>IF(B17=0,0,D17/B17)</f>
        <v>36.5</v>
      </c>
      <c r="D17" s="39">
        <f>SUM(D15:D16)</f>
        <v>4380000</v>
      </c>
      <c r="E17" s="40"/>
      <c r="F17" s="329">
        <f>(F16*(B16/B17))+(F15*(B15/B17))</f>
        <v>6.8</v>
      </c>
      <c r="G17" s="321"/>
    </row>
    <row r="18" spans="1:8" ht="13.15">
      <c r="A18" s="678" t="s">
        <v>282</v>
      </c>
      <c r="B18" s="679" t="str">
        <f>D2</f>
        <v>Railway Commercial</v>
      </c>
      <c r="F18" s="321"/>
      <c r="G18" s="321"/>
    </row>
    <row r="19" spans="1:8" ht="13.15" hidden="1">
      <c r="A19" s="524"/>
      <c r="B19" s="680"/>
      <c r="C19" s="322"/>
      <c r="D19" s="323"/>
      <c r="E19" s="321"/>
    </row>
    <row r="20" spans="1:8" ht="13.9" thickBot="1">
      <c r="A20" s="551" t="s">
        <v>31</v>
      </c>
      <c r="B20" s="680">
        <f>D20</f>
        <v>400</v>
      </c>
      <c r="C20" s="322"/>
      <c r="D20" s="323">
        <f>B17/300</f>
        <v>400</v>
      </c>
      <c r="E20" s="321"/>
    </row>
    <row r="21" spans="1:8" ht="14.45" thickTop="1" thickBot="1">
      <c r="A21" s="43" t="s">
        <v>283</v>
      </c>
      <c r="B21" s="44">
        <f>SUM(B19:B20)</f>
        <v>400</v>
      </c>
      <c r="C21" s="322"/>
      <c r="D21" s="323"/>
      <c r="E21" s="321"/>
    </row>
    <row r="22" spans="1:8" ht="13.15">
      <c r="A22" s="681" t="s">
        <v>284</v>
      </c>
      <c r="B22" s="682" t="str">
        <f>D2</f>
        <v>Railway Commercial</v>
      </c>
      <c r="C22" s="321"/>
      <c r="D22" s="321"/>
      <c r="E22" s="321"/>
    </row>
    <row r="23" spans="1:8" ht="13.15">
      <c r="A23" s="683" t="s">
        <v>285</v>
      </c>
      <c r="B23" s="684">
        <f>'Development Program'!D4</f>
        <v>482644.8</v>
      </c>
      <c r="C23" s="324"/>
      <c r="D23" s="325">
        <v>192000</v>
      </c>
      <c r="E23" s="321"/>
      <c r="H23" s="376">
        <f>B26+'B Financial'!B26+'C Financial'!B25+'D Financial'!B25</f>
        <v>2674010</v>
      </c>
    </row>
    <row r="24" spans="1:8" ht="13.15">
      <c r="A24" s="683" t="s">
        <v>286</v>
      </c>
      <c r="B24" s="684">
        <f>C11+B17</f>
        <v>120000</v>
      </c>
      <c r="C24" s="324"/>
      <c r="D24" s="325"/>
      <c r="E24" s="321"/>
    </row>
    <row r="25" spans="1:8" ht="13.15">
      <c r="A25" s="685">
        <f>Assumptions!C24</f>
        <v>350</v>
      </c>
      <c r="B25" s="684">
        <f>B20*A25</f>
        <v>140000</v>
      </c>
      <c r="C25" s="326">
        <f>B27/D23</f>
        <v>0.40625</v>
      </c>
      <c r="D25" s="327">
        <f>B26/D23</f>
        <v>1.625</v>
      </c>
      <c r="E25" s="321"/>
    </row>
    <row r="26" spans="1:8" ht="13.15">
      <c r="A26" s="686">
        <v>0.2</v>
      </c>
      <c r="B26" s="684">
        <f>(1+A26)*(B24+B25)</f>
        <v>312000</v>
      </c>
      <c r="C26" s="326">
        <f>B27/B23</f>
        <v>0.16160953148153673</v>
      </c>
      <c r="D26" s="327">
        <f>B26/B23</f>
        <v>0.64643812592614691</v>
      </c>
      <c r="E26" s="321"/>
    </row>
    <row r="27" spans="1:8" ht="13.9" thickBot="1">
      <c r="A27" s="687">
        <v>4</v>
      </c>
      <c r="B27" s="688">
        <f>B26/A27</f>
        <v>78000</v>
      </c>
      <c r="C27" s="46"/>
      <c r="D27" s="47"/>
      <c r="E27" s="45"/>
    </row>
    <row r="28" spans="1:8" ht="15" customHeight="1" thickBot="1">
      <c r="A28" s="461" t="s">
        <v>287</v>
      </c>
      <c r="B28" s="462"/>
      <c r="C28" s="356" t="str">
        <f>D2</f>
        <v>Railway Commercial</v>
      </c>
      <c r="D28" s="357"/>
      <c r="E28" s="45"/>
    </row>
    <row r="29" spans="1:8" ht="13.9" thickBot="1">
      <c r="A29" s="342" t="s">
        <v>288</v>
      </c>
      <c r="B29" s="343" t="s">
        <v>289</v>
      </c>
      <c r="C29" s="343" t="s">
        <v>290</v>
      </c>
      <c r="D29" s="344" t="s">
        <v>291</v>
      </c>
      <c r="E29" s="45"/>
    </row>
    <row r="30" spans="1:8" ht="13.15">
      <c r="A30" s="345" t="s">
        <v>292</v>
      </c>
      <c r="B30" s="346"/>
      <c r="C30" s="689"/>
      <c r="D30" s="48">
        <f>E11</f>
        <v>0</v>
      </c>
      <c r="E30" s="45"/>
    </row>
    <row r="31" spans="1:8" ht="13.15">
      <c r="A31" s="690">
        <f>B17</f>
        <v>120000</v>
      </c>
      <c r="B31" s="459" t="s">
        <v>293</v>
      </c>
      <c r="C31" s="460"/>
      <c r="D31" s="691">
        <f>D17</f>
        <v>4380000</v>
      </c>
      <c r="E31" s="45"/>
    </row>
    <row r="32" spans="1:8" ht="13.15">
      <c r="A32" s="692"/>
      <c r="B32" s="693" t="s">
        <v>294</v>
      </c>
      <c r="C32" s="693"/>
      <c r="D32" s="694">
        <f>SUM(D30:D31)</f>
        <v>4380000</v>
      </c>
      <c r="E32" s="45"/>
    </row>
    <row r="33" spans="1:6" ht="13.15">
      <c r="A33" s="695" t="s">
        <v>295</v>
      </c>
      <c r="B33" s="694" t="s">
        <v>296</v>
      </c>
      <c r="C33" s="694" t="s">
        <v>297</v>
      </c>
      <c r="D33" s="694"/>
      <c r="E33" s="45"/>
    </row>
    <row r="34" spans="1:6" ht="13.15">
      <c r="A34" s="692" t="s">
        <v>298</v>
      </c>
      <c r="B34" s="696"/>
      <c r="C34" s="697"/>
      <c r="D34" s="696">
        <f>B20*12*Assumptions!C32*(1-'Market Research'!H10)</f>
        <v>229440</v>
      </c>
      <c r="E34" s="45"/>
    </row>
    <row r="35" spans="1:6" ht="13.15">
      <c r="A35" s="692" t="s">
        <v>299</v>
      </c>
      <c r="B35" s="696"/>
      <c r="C35" s="697"/>
      <c r="D35" s="696">
        <f>Assumptions!F14*D32</f>
        <v>306600.00000000006</v>
      </c>
      <c r="E35" s="45"/>
    </row>
    <row r="36" spans="1:6" ht="13.15">
      <c r="A36" s="692" t="s">
        <v>300</v>
      </c>
      <c r="B36" s="696"/>
      <c r="C36" s="697"/>
      <c r="D36" s="696">
        <f>C63/5*0.6</f>
        <v>540000</v>
      </c>
      <c r="E36" s="45"/>
    </row>
    <row r="37" spans="1:6" ht="13.9" thickBot="1">
      <c r="A37" s="49" t="s">
        <v>301</v>
      </c>
      <c r="B37" s="451"/>
      <c r="C37" s="452"/>
      <c r="D37" s="50">
        <f>SUM(D34:D36)</f>
        <v>1076040</v>
      </c>
      <c r="E37" s="45"/>
    </row>
    <row r="38" spans="1:6" ht="14.45" thickTop="1" thickBot="1">
      <c r="A38" s="203">
        <v>7.0999999999999994E-2</v>
      </c>
      <c r="B38" s="453"/>
      <c r="C38" s="454"/>
      <c r="D38" s="52">
        <f>-A38*D32</f>
        <v>-310980</v>
      </c>
      <c r="E38" s="45"/>
    </row>
    <row r="39" spans="1:6" ht="14.45" thickTop="1" thickBot="1">
      <c r="A39" s="347" t="s">
        <v>302</v>
      </c>
      <c r="B39" s="53"/>
      <c r="C39" s="698"/>
      <c r="D39" s="54">
        <f>D32+D37+D38</f>
        <v>5145060</v>
      </c>
      <c r="E39" s="45"/>
    </row>
    <row r="40" spans="1:6" ht="13.15">
      <c r="A40" s="21" t="s">
        <v>303</v>
      </c>
      <c r="B40" s="22" t="s">
        <v>289</v>
      </c>
      <c r="C40" s="22" t="s">
        <v>304</v>
      </c>
      <c r="D40" s="55" t="s">
        <v>291</v>
      </c>
      <c r="E40" s="45"/>
    </row>
    <row r="41" spans="1:6" ht="13.9" thickBot="1">
      <c r="A41" s="56" t="s">
        <v>305</v>
      </c>
      <c r="B41" s="57"/>
      <c r="C41" s="57"/>
      <c r="D41" s="57">
        <f>-0.3*D32</f>
        <v>-1314000</v>
      </c>
      <c r="E41" s="45"/>
    </row>
    <row r="42" spans="1:6" ht="13.9" thickBot="1">
      <c r="A42" s="297" t="s">
        <v>306</v>
      </c>
      <c r="B42" s="298"/>
      <c r="C42" s="299"/>
      <c r="D42" s="298">
        <f>D39+D41</f>
        <v>3831060</v>
      </c>
      <c r="E42" s="45"/>
    </row>
    <row r="43" spans="1:6" ht="13.9" thickBot="1">
      <c r="A43" s="699" t="s">
        <v>307</v>
      </c>
      <c r="B43" s="58" t="s">
        <v>308</v>
      </c>
      <c r="C43" s="59">
        <v>6.5000000000000002E-2</v>
      </c>
      <c r="D43" s="700">
        <f>D42/C43</f>
        <v>58939384.615384616</v>
      </c>
      <c r="E43" s="45"/>
    </row>
    <row r="44" spans="1:6" ht="13.9" thickBot="1">
      <c r="A44" s="463" t="s">
        <v>309</v>
      </c>
      <c r="B44" s="464"/>
      <c r="C44" s="449" t="str">
        <f>D2</f>
        <v>Railway Commercial</v>
      </c>
      <c r="D44" s="450"/>
      <c r="F44" s="280"/>
    </row>
    <row r="45" spans="1:6" ht="13.9" thickBot="1">
      <c r="A45" s="336"/>
      <c r="B45" s="60" t="s">
        <v>310</v>
      </c>
      <c r="C45" s="60" t="s">
        <v>311</v>
      </c>
      <c r="D45" s="60" t="s">
        <v>289</v>
      </c>
    </row>
    <row r="46" spans="1:6" ht="13.15">
      <c r="A46" s="241" t="s">
        <v>312</v>
      </c>
      <c r="B46" s="701">
        <v>200</v>
      </c>
      <c r="C46" s="702">
        <f>B46*(C11+B17)</f>
        <v>24000000</v>
      </c>
      <c r="D46" s="696">
        <f>C46/$B$24</f>
        <v>200</v>
      </c>
    </row>
    <row r="47" spans="1:6" ht="13.15">
      <c r="A47" s="61" t="s">
        <v>313</v>
      </c>
      <c r="B47" s="703">
        <v>10000</v>
      </c>
      <c r="C47" s="62">
        <f>B21*B47</f>
        <v>4000000</v>
      </c>
      <c r="D47" s="696">
        <f t="shared" ref="D47:D68" si="1">C47/$B$24</f>
        <v>33.333333333333336</v>
      </c>
    </row>
    <row r="48" spans="1:6" ht="13.15">
      <c r="A48" s="61" t="s">
        <v>121</v>
      </c>
      <c r="B48" s="704">
        <v>7.0000000000000007E-2</v>
      </c>
      <c r="C48" s="62">
        <f>B48*C46</f>
        <v>1680000.0000000002</v>
      </c>
      <c r="D48" s="696">
        <f t="shared" si="1"/>
        <v>14.000000000000002</v>
      </c>
    </row>
    <row r="49" spans="1:6" ht="13.15">
      <c r="A49" s="61" t="s">
        <v>205</v>
      </c>
      <c r="B49" s="704" t="s">
        <v>131</v>
      </c>
      <c r="C49" s="62">
        <v>0</v>
      </c>
      <c r="D49" s="696">
        <f t="shared" si="1"/>
        <v>0</v>
      </c>
    </row>
    <row r="50" spans="1:6" ht="13.15">
      <c r="A50" s="61" t="s">
        <v>314</v>
      </c>
      <c r="B50" s="705" t="s">
        <v>315</v>
      </c>
      <c r="C50" s="706">
        <f>B23*2.81</f>
        <v>1356231.888</v>
      </c>
      <c r="D50" s="696">
        <f t="shared" si="1"/>
        <v>11.3019324</v>
      </c>
    </row>
    <row r="51" spans="1:6" ht="13.15">
      <c r="A51" s="61" t="s">
        <v>124</v>
      </c>
      <c r="B51" s="707">
        <v>72</v>
      </c>
      <c r="C51" s="62">
        <f>(B17/300*B51)</f>
        <v>28800</v>
      </c>
      <c r="D51" s="696">
        <f t="shared" si="1"/>
        <v>0.24</v>
      </c>
    </row>
    <row r="52" spans="1:6" ht="13.15">
      <c r="A52" s="61" t="s">
        <v>316</v>
      </c>
      <c r="B52" s="708" t="s">
        <v>317</v>
      </c>
      <c r="C52" s="62">
        <f>'Development Program'!D20+'Development Program'!D21</f>
        <v>110000</v>
      </c>
      <c r="D52" s="696">
        <f t="shared" si="1"/>
        <v>0.91666666666666663</v>
      </c>
    </row>
    <row r="53" spans="1:6" ht="13.15">
      <c r="A53" s="524" t="s">
        <v>130</v>
      </c>
      <c r="B53" s="709" t="s">
        <v>131</v>
      </c>
      <c r="C53" s="710">
        <f>1000*B17/300</f>
        <v>400000</v>
      </c>
      <c r="D53" s="696">
        <f t="shared" si="1"/>
        <v>3.3333333333333335</v>
      </c>
    </row>
    <row r="54" spans="1:6" ht="13.15">
      <c r="A54" s="524" t="s">
        <v>132</v>
      </c>
      <c r="B54" s="709" t="s">
        <v>131</v>
      </c>
      <c r="C54" s="710">
        <v>86025</v>
      </c>
      <c r="D54" s="696">
        <f t="shared" si="1"/>
        <v>0.71687500000000004</v>
      </c>
      <c r="E54" s="63"/>
      <c r="F54" s="81"/>
    </row>
    <row r="55" spans="1:6" ht="13.15">
      <c r="A55" s="524" t="s">
        <v>51</v>
      </c>
      <c r="B55" s="709">
        <v>10</v>
      </c>
      <c r="C55" s="710">
        <f>B55*0.1*B23</f>
        <v>482644.8</v>
      </c>
      <c r="D55" s="696">
        <f t="shared" si="1"/>
        <v>4.0220399999999996</v>
      </c>
      <c r="E55" s="63"/>
      <c r="F55" s="81"/>
    </row>
    <row r="56" spans="1:6" ht="13.15">
      <c r="A56" s="524" t="s">
        <v>134</v>
      </c>
      <c r="B56" s="711">
        <v>0.03</v>
      </c>
      <c r="C56" s="712">
        <f>B56*(C46+C48)</f>
        <v>770400</v>
      </c>
      <c r="D56" s="696">
        <f t="shared" si="1"/>
        <v>6.42</v>
      </c>
    </row>
    <row r="57" spans="1:6" ht="13.15">
      <c r="A57" s="524" t="s">
        <v>136</v>
      </c>
      <c r="B57" s="713">
        <v>0.03</v>
      </c>
      <c r="C57" s="714">
        <f>B57*SUM(C46:C56)</f>
        <v>987423.05064000003</v>
      </c>
      <c r="D57" s="696">
        <f t="shared" si="1"/>
        <v>8.2285254220000006</v>
      </c>
    </row>
    <row r="58" spans="1:6" ht="13.15">
      <c r="A58" s="524" t="s">
        <v>138</v>
      </c>
      <c r="B58" s="711">
        <v>0.02</v>
      </c>
      <c r="C58" s="712">
        <f>B58*(C46+C48)</f>
        <v>513600</v>
      </c>
      <c r="D58" s="696">
        <f t="shared" si="1"/>
        <v>4.28</v>
      </c>
    </row>
    <row r="59" spans="1:6" ht="13.15">
      <c r="A59" s="524" t="s">
        <v>318</v>
      </c>
      <c r="B59" s="715" t="s">
        <v>131</v>
      </c>
      <c r="C59" s="710">
        <f>0.31*D43*0.06</f>
        <v>1096272.5538461539</v>
      </c>
      <c r="D59" s="696">
        <f t="shared" si="1"/>
        <v>9.1356046153846151</v>
      </c>
    </row>
    <row r="60" spans="1:6" ht="13.15">
      <c r="A60" s="524" t="s">
        <v>142</v>
      </c>
      <c r="B60" s="716">
        <v>6000</v>
      </c>
      <c r="C60" s="712">
        <f>B60*B26/3000</f>
        <v>624000</v>
      </c>
      <c r="D60" s="696">
        <f t="shared" si="1"/>
        <v>5.2</v>
      </c>
    </row>
    <row r="61" spans="1:6" ht="13.15">
      <c r="A61" s="524" t="s">
        <v>144</v>
      </c>
      <c r="B61" s="709" t="s">
        <v>131</v>
      </c>
      <c r="C61" s="710">
        <v>200000</v>
      </c>
      <c r="D61" s="696">
        <f t="shared" si="1"/>
        <v>1.6666666666666667</v>
      </c>
    </row>
    <row r="62" spans="1:6" ht="13.15">
      <c r="A62" s="524" t="s">
        <v>145</v>
      </c>
      <c r="B62" s="717">
        <v>6</v>
      </c>
      <c r="C62" s="712">
        <f>-B62*(D41/12)</f>
        <v>657000</v>
      </c>
      <c r="D62" s="696">
        <f t="shared" si="1"/>
        <v>5.4749999999999996</v>
      </c>
    </row>
    <row r="63" spans="1:6" ht="13.15">
      <c r="A63" s="524" t="s">
        <v>319</v>
      </c>
      <c r="B63" s="196">
        <v>75</v>
      </c>
      <c r="C63" s="712">
        <f>B15*B63</f>
        <v>4500000</v>
      </c>
      <c r="D63" s="696">
        <f t="shared" si="1"/>
        <v>37.5</v>
      </c>
    </row>
    <row r="64" spans="1:6" ht="13.15">
      <c r="A64" s="524" t="s">
        <v>320</v>
      </c>
      <c r="B64" s="718">
        <v>0.06</v>
      </c>
      <c r="C64" s="714">
        <f>B64*D17*5</f>
        <v>1314000</v>
      </c>
      <c r="D64" s="696">
        <f t="shared" si="1"/>
        <v>10.95</v>
      </c>
    </row>
    <row r="65" spans="1:7" ht="13.15">
      <c r="A65" s="524" t="s">
        <v>148</v>
      </c>
      <c r="B65" s="719">
        <v>1.4999999999999999E-2</v>
      </c>
      <c r="C65" s="714">
        <v>489685.82170802035</v>
      </c>
      <c r="D65" s="696">
        <f t="shared" si="1"/>
        <v>4.0807151809001692</v>
      </c>
      <c r="E65" s="457" t="s">
        <v>321</v>
      </c>
      <c r="F65" s="458"/>
      <c r="G65" s="65">
        <f>B65*B78</f>
        <v>490568.56491180015</v>
      </c>
    </row>
    <row r="66" spans="1:7" ht="12.95" customHeight="1">
      <c r="A66" s="720" t="s">
        <v>149</v>
      </c>
      <c r="B66" s="721">
        <v>7.0000000000000007E-2</v>
      </c>
      <c r="C66" s="714">
        <v>2285200.5013040951</v>
      </c>
      <c r="D66" s="696">
        <f t="shared" si="1"/>
        <v>19.04333751086746</v>
      </c>
      <c r="E66" s="457" t="s">
        <v>321</v>
      </c>
      <c r="F66" s="458"/>
      <c r="G66" s="66">
        <f>B66*B78</f>
        <v>2289319.9695884008</v>
      </c>
    </row>
    <row r="67" spans="1:7" ht="13.9" thickBot="1">
      <c r="A67" s="551" t="s">
        <v>322</v>
      </c>
      <c r="B67" s="722" t="s">
        <v>131</v>
      </c>
      <c r="C67" s="723">
        <f>SUM(C46:C66)*0.025</f>
        <v>1139532.0903874568</v>
      </c>
      <c r="D67" s="724">
        <f t="shared" si="1"/>
        <v>9.4961007532288075</v>
      </c>
      <c r="G67" s="81">
        <f>G65*0.015</f>
        <v>7358.5284736770018</v>
      </c>
    </row>
    <row r="68" spans="1:7" ht="14.45" thickTop="1" thickBot="1">
      <c r="A68" s="725" t="s">
        <v>323</v>
      </c>
      <c r="B68" s="726"/>
      <c r="C68" s="67">
        <f>SUM(C46:C67)</f>
        <v>46720815.705885731</v>
      </c>
      <c r="D68" s="272">
        <f t="shared" si="1"/>
        <v>389.34013088238106</v>
      </c>
    </row>
    <row r="69" spans="1:7" ht="13.15">
      <c r="A69" s="727" t="s">
        <v>324</v>
      </c>
      <c r="B69" s="728">
        <f>D42/C68</f>
        <v>8.1998996424143683E-2</v>
      </c>
    </row>
    <row r="70" spans="1:7" ht="13.15">
      <c r="A70" s="729" t="s">
        <v>325</v>
      </c>
      <c r="B70" s="730">
        <f>(D43/C68)-1</f>
        <v>0.26152302190990273</v>
      </c>
      <c r="C70" s="68"/>
      <c r="D70" s="69"/>
    </row>
    <row r="71" spans="1:7" ht="13.9" thickBot="1">
      <c r="A71" s="731">
        <v>0.2</v>
      </c>
      <c r="B71" s="732">
        <f>(D43/(1+A71))</f>
        <v>49116153.846153848</v>
      </c>
    </row>
    <row r="72" spans="1:7" ht="13.9" thickBot="1">
      <c r="A72" s="733">
        <v>0.2</v>
      </c>
      <c r="B72" s="732">
        <f>ROUND((D43/(1+A72))-C68,-3)</f>
        <v>2395000</v>
      </c>
      <c r="C72" s="70" t="s">
        <v>326</v>
      </c>
    </row>
    <row r="73" spans="1:7" ht="13.9" thickBot="1">
      <c r="A73" s="71"/>
      <c r="B73" s="72"/>
    </row>
    <row r="74" spans="1:7" ht="15" customHeight="1" thickBot="1">
      <c r="A74" s="455" t="s">
        <v>327</v>
      </c>
      <c r="B74" s="456"/>
      <c r="C74" s="734" t="str">
        <f>D2</f>
        <v>Railway Commercial</v>
      </c>
    </row>
    <row r="75" spans="1:7" ht="13.9" thickBot="1">
      <c r="A75" s="735"/>
      <c r="B75" s="736" t="s">
        <v>328</v>
      </c>
      <c r="C75" s="737" t="s">
        <v>289</v>
      </c>
    </row>
    <row r="76" spans="1:7" ht="13.15">
      <c r="A76" s="73" t="s">
        <v>329</v>
      </c>
      <c r="B76" s="244">
        <f>IF(B72&lt;0,B72,0)</f>
        <v>0</v>
      </c>
      <c r="C76" s="738">
        <f>B76/B$17</f>
        <v>0</v>
      </c>
    </row>
    <row r="77" spans="1:7" ht="13.15">
      <c r="A77" s="75" t="s">
        <v>330</v>
      </c>
      <c r="B77" s="244">
        <f>C68+B76</f>
        <v>46720815.705885731</v>
      </c>
      <c r="C77" s="738">
        <f t="shared" ref="C77:C80" si="2">B77/B$17</f>
        <v>389.34013088238106</v>
      </c>
    </row>
    <row r="78" spans="1:7" ht="13.15">
      <c r="A78" s="739">
        <f>Assumptions!H16</f>
        <v>0.7</v>
      </c>
      <c r="B78" s="245">
        <f>A78*C$68</f>
        <v>32704570.994120009</v>
      </c>
      <c r="C78" s="738">
        <f t="shared" si="2"/>
        <v>272.53809161766674</v>
      </c>
    </row>
    <row r="79" spans="1:7" ht="13.9" thickBot="1">
      <c r="A79" s="740">
        <f>1-A78</f>
        <v>0.30000000000000004</v>
      </c>
      <c r="B79" s="245">
        <f>A79*C$68</f>
        <v>14016244.711765721</v>
      </c>
      <c r="C79" s="738">
        <f t="shared" si="2"/>
        <v>116.80203926471435</v>
      </c>
      <c r="D79" s="69"/>
    </row>
    <row r="80" spans="1:7" ht="13.9" thickTop="1">
      <c r="A80" s="138" t="s">
        <v>331</v>
      </c>
      <c r="B80" s="741">
        <f>B78+B79</f>
        <v>46720815.705885731</v>
      </c>
      <c r="C80" s="738">
        <f t="shared" si="2"/>
        <v>389.34013088238106</v>
      </c>
    </row>
    <row r="81" spans="1:5" ht="13.9" thickBot="1">
      <c r="A81" s="742"/>
      <c r="B81" s="231"/>
      <c r="C81" s="743"/>
    </row>
    <row r="82" spans="1:5" ht="15" customHeight="1" thickBot="1">
      <c r="A82" s="455" t="s">
        <v>332</v>
      </c>
      <c r="B82" s="456"/>
      <c r="C82" s="734" t="str">
        <f>D2</f>
        <v>Railway Commercial</v>
      </c>
    </row>
    <row r="83" spans="1:5" ht="13.9" thickBot="1">
      <c r="A83" s="79"/>
      <c r="B83" s="744" t="s">
        <v>333</v>
      </c>
      <c r="C83" s="744"/>
    </row>
    <row r="84" spans="1:5" ht="13.15">
      <c r="A84" s="745" t="s">
        <v>334</v>
      </c>
      <c r="B84" s="746">
        <f>D43</f>
        <v>58939384.615384616</v>
      </c>
      <c r="C84" s="747"/>
    </row>
    <row r="85" spans="1:5" ht="13.9" thickBot="1">
      <c r="A85" s="748">
        <v>0.02</v>
      </c>
      <c r="B85" s="749">
        <f>-A85*B84</f>
        <v>-1178787.6923076923</v>
      </c>
      <c r="C85" s="750"/>
    </row>
    <row r="86" spans="1:5" ht="14.45" thickTop="1" thickBot="1">
      <c r="A86" s="751" t="s">
        <v>335</v>
      </c>
      <c r="B86" s="246">
        <f>B84+B85</f>
        <v>57760596.92307692</v>
      </c>
      <c r="C86" s="80"/>
      <c r="E86" s="81"/>
    </row>
    <row r="87" spans="1:5" ht="13.15">
      <c r="A87" s="745" t="s">
        <v>336</v>
      </c>
      <c r="B87" s="746">
        <f>-B78</f>
        <v>-32704570.994120009</v>
      </c>
      <c r="C87" s="747"/>
    </row>
    <row r="88" spans="1:5" ht="13.9" thickBot="1">
      <c r="A88" s="752" t="s">
        <v>337</v>
      </c>
      <c r="B88" s="753">
        <f>-B79</f>
        <v>-14016244.711765721</v>
      </c>
      <c r="C88" s="750"/>
    </row>
    <row r="89" spans="1:5" ht="14.45" thickTop="1" thickBot="1">
      <c r="A89" s="156" t="s">
        <v>338</v>
      </c>
      <c r="B89" s="247">
        <f>ROUND(B86+B87+B88,-2)</f>
        <v>11039800</v>
      </c>
      <c r="C89" s="82"/>
      <c r="D89" s="83"/>
    </row>
    <row r="90" spans="1:5" ht="13.9" thickBot="1">
      <c r="A90" s="754" t="s">
        <v>339</v>
      </c>
      <c r="B90" s="755"/>
      <c r="C90" s="756"/>
    </row>
    <row r="91" spans="1:5" ht="13.15">
      <c r="A91" s="757" t="s">
        <v>340</v>
      </c>
      <c r="B91" s="758">
        <f>ROUND((B84)/B$17,-2)</f>
        <v>500</v>
      </c>
      <c r="C91" s="758"/>
    </row>
    <row r="92" spans="1:5" ht="13.9" thickBot="1">
      <c r="A92" s="759" t="s">
        <v>341</v>
      </c>
      <c r="B92" s="760">
        <f>ROUND((B86)/B$17,-2)</f>
        <v>500</v>
      </c>
      <c r="C92" s="760"/>
    </row>
    <row r="93" spans="1:5" ht="13.15">
      <c r="A93" s="761" t="s">
        <v>342</v>
      </c>
      <c r="B93" s="762"/>
      <c r="C93" s="763"/>
    </row>
    <row r="94" spans="1:5" ht="13.9" thickBot="1">
      <c r="A94" s="742"/>
      <c r="B94" s="84"/>
      <c r="C94" s="84"/>
    </row>
    <row r="95" spans="1:5" ht="13.15">
      <c r="A95" s="85"/>
      <c r="B95" s="744" t="s">
        <v>333</v>
      </c>
      <c r="C95" s="744"/>
    </row>
    <row r="96" spans="1:5" ht="13.15">
      <c r="A96" s="764" t="s">
        <v>343</v>
      </c>
      <c r="B96" s="765">
        <f>(B89+B79)/B79</f>
        <v>1.7876432116466123</v>
      </c>
      <c r="C96" s="765"/>
    </row>
    <row r="97" spans="1:4" ht="13.15">
      <c r="A97" s="766" t="s">
        <v>344</v>
      </c>
      <c r="B97" s="767">
        <f>'A DRAW'!B39</f>
        <v>0.22291471156776899</v>
      </c>
      <c r="C97" s="767"/>
      <c r="D97" s="86"/>
    </row>
    <row r="98" spans="1:4" ht="13.15">
      <c r="A98" s="766" t="s">
        <v>345</v>
      </c>
      <c r="B98" s="767">
        <f>'A DRAW'!B44</f>
        <v>0.1301465865880389</v>
      </c>
      <c r="C98" s="767"/>
      <c r="D98" s="86"/>
    </row>
    <row r="99" spans="1:4" ht="13.15">
      <c r="A99" s="764" t="s">
        <v>346</v>
      </c>
      <c r="B99" s="768">
        <f>D42/B78</f>
        <v>0.11714142346306242</v>
      </c>
      <c r="C99" s="768"/>
    </row>
    <row r="100" spans="1:4" ht="13.15">
      <c r="A100" s="764" t="s">
        <v>347</v>
      </c>
      <c r="B100" s="769">
        <f>C43</f>
        <v>6.5000000000000002E-2</v>
      </c>
      <c r="C100" s="769"/>
    </row>
  </sheetData>
  <mergeCells count="15">
    <mergeCell ref="D2:E2"/>
    <mergeCell ref="A2:C2"/>
    <mergeCell ref="C44:D44"/>
    <mergeCell ref="A90:C90"/>
    <mergeCell ref="A93:C93"/>
    <mergeCell ref="B32:C32"/>
    <mergeCell ref="B37:C37"/>
    <mergeCell ref="B38:C38"/>
    <mergeCell ref="A74:B74"/>
    <mergeCell ref="A82:B82"/>
    <mergeCell ref="E65:F65"/>
    <mergeCell ref="E66:F66"/>
    <mergeCell ref="B31:C31"/>
    <mergeCell ref="A28:B28"/>
    <mergeCell ref="A44:B44"/>
  </mergeCells>
  <printOptions horizontalCentered="1" verticalCentered="1"/>
  <pageMargins left="0.7" right="0.7" top="0.75" bottom="0.75" header="0.3" footer="0.3"/>
  <pageSetup fitToHeight="0" orientation="landscape" horizontalDpi="4294967292" verticalDpi="4294967292" r:id="rId1"/>
  <headerFooter>
    <oddHeader>&amp;C&amp;"Times New Roman Bold,Bold"&amp;14&amp;K000000INVESTOR SHEET</oddHeader>
    <oddFooter>&amp;CPage &amp;P of &amp;N</oddFooter>
  </headerFooter>
  <rowBreaks count="2" manualBreakCount="2">
    <brk id="27" max="4" man="1"/>
    <brk id="68" max="4" man="1"/>
  </rowBreaks>
  <ignoredErrors>
    <ignoredError sqref="C17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X601"/>
  <sheetViews>
    <sheetView topLeftCell="A13" workbookViewId="0">
      <selection activeCell="C37" sqref="C37"/>
    </sheetView>
  </sheetViews>
  <sheetFormatPr defaultColWidth="8.85546875" defaultRowHeight="14.45"/>
  <cols>
    <col min="1" max="1" width="45.5703125" style="18" customWidth="1"/>
    <col min="2" max="2" width="21.42578125" style="18" customWidth="1"/>
    <col min="3" max="3" width="17.140625" style="18" customWidth="1"/>
    <col min="4" max="4" width="15" style="18" customWidth="1"/>
    <col min="5" max="5" width="17.140625" style="18" customWidth="1"/>
    <col min="6" max="6" width="16" style="18" customWidth="1"/>
    <col min="7" max="7" width="14.42578125" style="162" customWidth="1"/>
    <col min="8" max="8" width="19" style="18" customWidth="1"/>
    <col min="9" max="9" width="18.5703125" style="18" customWidth="1"/>
    <col min="10" max="10" width="16.42578125" style="18" customWidth="1"/>
    <col min="11" max="11" width="15" style="18" customWidth="1"/>
    <col min="12" max="12" width="14.140625" style="18" customWidth="1"/>
    <col min="13" max="13" width="14.42578125" style="18" customWidth="1"/>
    <col min="14" max="14" width="15.42578125" style="18" customWidth="1"/>
    <col min="15" max="15" width="16.140625" style="18" customWidth="1"/>
    <col min="16" max="16" width="15.42578125" style="18" customWidth="1"/>
    <col min="17" max="17" width="13.85546875" style="18" customWidth="1"/>
    <col min="18" max="19" width="14" style="18" customWidth="1"/>
    <col min="20" max="20" width="16" style="18" customWidth="1"/>
    <col min="21" max="22" width="14.42578125" style="18" customWidth="1"/>
    <col min="23" max="42" width="14.42578125" style="18" hidden="1" customWidth="1"/>
    <col min="43" max="43" width="12.5703125" style="18" hidden="1" customWidth="1"/>
    <col min="44" max="44" width="17" style="18" hidden="1" customWidth="1"/>
    <col min="45" max="45" width="16.42578125" style="18" hidden="1" customWidth="1"/>
    <col min="46" max="46" width="13.42578125" style="18" hidden="1" customWidth="1"/>
    <col min="47" max="47" width="15" style="18" hidden="1" customWidth="1"/>
    <col min="48" max="48" width="20.42578125" style="18" customWidth="1"/>
    <col min="49" max="73" width="17" style="18" customWidth="1"/>
    <col min="74" max="74" width="16.5703125" style="18" customWidth="1"/>
    <col min="75" max="75" width="15" customWidth="1"/>
    <col min="76" max="76" width="17.85546875" bestFit="1" customWidth="1"/>
    <col min="77" max="77" width="9.5703125" style="18" bestFit="1" customWidth="1"/>
    <col min="78" max="78" width="11.85546875" style="18" bestFit="1" customWidth="1"/>
    <col min="79" max="80" width="9.5703125" style="18" bestFit="1" customWidth="1"/>
    <col min="81" max="16384" width="8.85546875" style="18"/>
  </cols>
  <sheetData>
    <row r="1" spans="1:74" ht="15" thickBot="1">
      <c r="A1" s="465" t="str">
        <f>'Development Program'!B28</f>
        <v>Railway Commercial</v>
      </c>
      <c r="B1" s="232" t="s">
        <v>348</v>
      </c>
      <c r="C1" s="218" t="str">
        <f>'Development Program'!C27</f>
        <v>Pre-Development</v>
      </c>
      <c r="D1" s="218" t="str">
        <f>'Development Program'!D27</f>
        <v>Demolition</v>
      </c>
      <c r="E1" s="218" t="str">
        <f>'Development Program'!E27</f>
        <v>Construction</v>
      </c>
      <c r="F1" s="218" t="str">
        <f>'Development Program'!F27</f>
        <v>Close-out</v>
      </c>
      <c r="G1" s="69"/>
    </row>
    <row r="2" spans="1:74" ht="15" thickBot="1">
      <c r="A2" s="466"/>
      <c r="B2" s="770" t="s">
        <v>349</v>
      </c>
      <c r="C2" s="771" t="str">
        <f>'Development Program'!C28</f>
        <v>01/1/26 to 12/31/26</v>
      </c>
      <c r="D2" s="772" t="str">
        <f>'Development Program'!D28</f>
        <v>None</v>
      </c>
      <c r="E2" s="771" t="str">
        <f>'Development Program'!E28</f>
        <v>1/1/27 to 12/31/28</v>
      </c>
      <c r="F2" s="773" t="str">
        <f>'Development Program'!F28</f>
        <v>1/1/29 to 6/30/29</v>
      </c>
      <c r="G2" s="18"/>
      <c r="H2" s="253" t="s">
        <v>350</v>
      </c>
      <c r="I2" s="253" t="s">
        <v>351</v>
      </c>
      <c r="T2" s="253" t="s">
        <v>352</v>
      </c>
      <c r="U2" s="254" t="s">
        <v>353</v>
      </c>
      <c r="V2" s="254" t="s">
        <v>354</v>
      </c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V2" s="470" t="s">
        <v>355</v>
      </c>
      <c r="AW2" s="470"/>
      <c r="AX2" s="470"/>
    </row>
    <row r="3" spans="1:74" ht="15" thickBot="1">
      <c r="A3" s="467"/>
      <c r="B3" s="166" t="s">
        <v>202</v>
      </c>
      <c r="C3" s="220">
        <v>46023</v>
      </c>
      <c r="D3" s="221">
        <f>EOMONTH(C3,2)</f>
        <v>46112</v>
      </c>
      <c r="E3" s="221">
        <f>EOMONTH(D3,2)</f>
        <v>46173</v>
      </c>
      <c r="F3" s="221">
        <f>EOMONTH(E3,2)</f>
        <v>46234</v>
      </c>
      <c r="G3" s="221">
        <f>EOMONTH(F3,2)</f>
        <v>46295</v>
      </c>
      <c r="H3" s="774">
        <f t="shared" ref="H3:AK3" si="0">EOMONTH(G3,3)</f>
        <v>46387</v>
      </c>
      <c r="I3" s="774">
        <f>EOMONTH(H3,2)</f>
        <v>46446</v>
      </c>
      <c r="J3" s="774">
        <f>EOMONTH(I3,2)</f>
        <v>46507</v>
      </c>
      <c r="K3" s="774">
        <f t="shared" ref="K3:T3" si="1">EOMONTH(J3,2)</f>
        <v>46568</v>
      </c>
      <c r="L3" s="774">
        <f t="shared" si="1"/>
        <v>46630</v>
      </c>
      <c r="M3" s="774">
        <f t="shared" si="1"/>
        <v>46691</v>
      </c>
      <c r="N3" s="774">
        <f t="shared" si="1"/>
        <v>46752</v>
      </c>
      <c r="O3" s="774">
        <f t="shared" si="1"/>
        <v>46812</v>
      </c>
      <c r="P3" s="774">
        <f t="shared" si="1"/>
        <v>46873</v>
      </c>
      <c r="Q3" s="774">
        <f t="shared" si="1"/>
        <v>46934</v>
      </c>
      <c r="R3" s="774">
        <f t="shared" si="1"/>
        <v>46996</v>
      </c>
      <c r="S3" s="774">
        <f t="shared" si="1"/>
        <v>47057</v>
      </c>
      <c r="T3" s="774">
        <f t="shared" si="1"/>
        <v>47118</v>
      </c>
      <c r="U3" s="774">
        <f t="shared" si="0"/>
        <v>47208</v>
      </c>
      <c r="V3" s="774">
        <f t="shared" si="0"/>
        <v>47299</v>
      </c>
      <c r="W3" s="775">
        <f t="shared" si="0"/>
        <v>47391</v>
      </c>
      <c r="X3" s="774">
        <f t="shared" si="0"/>
        <v>47483</v>
      </c>
      <c r="Y3" s="774">
        <f t="shared" si="0"/>
        <v>47573</v>
      </c>
      <c r="Z3" s="774">
        <f t="shared" si="0"/>
        <v>47664</v>
      </c>
      <c r="AA3" s="774">
        <f t="shared" si="0"/>
        <v>47756</v>
      </c>
      <c r="AB3" s="774">
        <f t="shared" si="0"/>
        <v>47848</v>
      </c>
      <c r="AC3" s="774">
        <f t="shared" si="0"/>
        <v>47938</v>
      </c>
      <c r="AD3" s="774">
        <f t="shared" si="0"/>
        <v>48029</v>
      </c>
      <c r="AE3" s="774">
        <f t="shared" si="0"/>
        <v>48121</v>
      </c>
      <c r="AF3" s="774">
        <f t="shared" si="0"/>
        <v>48213</v>
      </c>
      <c r="AG3" s="774">
        <f t="shared" si="0"/>
        <v>48304</v>
      </c>
      <c r="AH3" s="774">
        <f t="shared" si="0"/>
        <v>48395</v>
      </c>
      <c r="AI3" s="774">
        <f t="shared" si="0"/>
        <v>48487</v>
      </c>
      <c r="AJ3" s="774">
        <f t="shared" si="0"/>
        <v>48579</v>
      </c>
      <c r="AK3" s="774">
        <f t="shared" si="0"/>
        <v>48669</v>
      </c>
      <c r="AL3" s="774">
        <f>EOMONTH(AK3,3)</f>
        <v>48760</v>
      </c>
      <c r="AM3" s="774">
        <f t="shared" ref="AM3:AU3" si="2">EOMONTH(AL3,3)</f>
        <v>48852</v>
      </c>
      <c r="AN3" s="774">
        <f t="shared" si="2"/>
        <v>48944</v>
      </c>
      <c r="AO3" s="774">
        <f t="shared" si="2"/>
        <v>49034</v>
      </c>
      <c r="AP3" s="774">
        <f t="shared" si="2"/>
        <v>49125</v>
      </c>
      <c r="AQ3" s="774">
        <f t="shared" si="2"/>
        <v>49217</v>
      </c>
      <c r="AR3" s="774">
        <f t="shared" si="2"/>
        <v>49309</v>
      </c>
      <c r="AS3" s="774">
        <f>EOMONTH(AR3,3)</f>
        <v>49399</v>
      </c>
      <c r="AT3" s="774">
        <f t="shared" si="2"/>
        <v>49490</v>
      </c>
      <c r="AU3" s="774">
        <f t="shared" si="2"/>
        <v>49582</v>
      </c>
      <c r="AV3" s="776" t="s">
        <v>356</v>
      </c>
      <c r="AW3" s="777" t="s">
        <v>357</v>
      </c>
      <c r="AX3" s="776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</row>
    <row r="4" spans="1:74" ht="15" thickBot="1">
      <c r="A4" s="778" t="s">
        <v>358</v>
      </c>
      <c r="B4" s="779">
        <v>1</v>
      </c>
      <c r="C4" s="249">
        <v>0</v>
      </c>
      <c r="D4" s="249">
        <v>0</v>
      </c>
      <c r="E4" s="249">
        <v>0</v>
      </c>
      <c r="F4" s="249">
        <f t="shared" ref="F4:G4" si="3">E4</f>
        <v>0</v>
      </c>
      <c r="G4" s="248">
        <f t="shared" si="3"/>
        <v>0</v>
      </c>
      <c r="H4" s="248">
        <v>0</v>
      </c>
      <c r="I4" s="248">
        <v>0.05</v>
      </c>
      <c r="J4" s="248">
        <v>0.05</v>
      </c>
      <c r="K4" s="248">
        <v>0.05</v>
      </c>
      <c r="L4" s="248">
        <v>0.05</v>
      </c>
      <c r="M4" s="248">
        <v>0.12</v>
      </c>
      <c r="N4" s="248">
        <v>0.12</v>
      </c>
      <c r="O4" s="248">
        <v>0.12</v>
      </c>
      <c r="P4" s="248">
        <v>0.12</v>
      </c>
      <c r="Q4" s="248">
        <v>0.08</v>
      </c>
      <c r="R4" s="248">
        <v>0.08</v>
      </c>
      <c r="S4" s="248">
        <v>0.08</v>
      </c>
      <c r="T4" s="248">
        <v>0.08</v>
      </c>
      <c r="U4" s="248">
        <v>0</v>
      </c>
      <c r="V4" s="248">
        <v>0</v>
      </c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780">
        <f>SUM(C4:AU4)</f>
        <v>0.99999999999999989</v>
      </c>
      <c r="AW4" s="781"/>
      <c r="AX4" s="782" t="s">
        <v>359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</row>
    <row r="5" spans="1:74">
      <c r="A5" s="174" t="str">
        <f>'A Financial'!A46</f>
        <v>Hard Costs for Construction</v>
      </c>
      <c r="B5" s="783">
        <f>'A Financial'!C46</f>
        <v>24000000</v>
      </c>
      <c r="C5" s="784">
        <f t="shared" ref="C5:U5" si="4">$B$5*C4</f>
        <v>0</v>
      </c>
      <c r="D5" s="784">
        <f t="shared" si="4"/>
        <v>0</v>
      </c>
      <c r="E5" s="784">
        <f t="shared" si="4"/>
        <v>0</v>
      </c>
      <c r="F5" s="784">
        <f t="shared" si="4"/>
        <v>0</v>
      </c>
      <c r="G5" s="784">
        <f t="shared" si="4"/>
        <v>0</v>
      </c>
      <c r="H5" s="784">
        <f t="shared" si="4"/>
        <v>0</v>
      </c>
      <c r="I5" s="784">
        <f t="shared" si="4"/>
        <v>1200000</v>
      </c>
      <c r="J5" s="784">
        <f t="shared" si="4"/>
        <v>1200000</v>
      </c>
      <c r="K5" s="784">
        <f t="shared" si="4"/>
        <v>1200000</v>
      </c>
      <c r="L5" s="784">
        <f t="shared" si="4"/>
        <v>1200000</v>
      </c>
      <c r="M5" s="784">
        <f t="shared" si="4"/>
        <v>2880000</v>
      </c>
      <c r="N5" s="784">
        <f t="shared" si="4"/>
        <v>2880000</v>
      </c>
      <c r="O5" s="784">
        <f t="shared" si="4"/>
        <v>2880000</v>
      </c>
      <c r="P5" s="784">
        <f t="shared" si="4"/>
        <v>2880000</v>
      </c>
      <c r="Q5" s="784">
        <f t="shared" si="4"/>
        <v>1920000</v>
      </c>
      <c r="R5" s="784">
        <f t="shared" si="4"/>
        <v>1920000</v>
      </c>
      <c r="S5" s="784">
        <f t="shared" si="4"/>
        <v>1920000</v>
      </c>
      <c r="T5" s="784">
        <f t="shared" si="4"/>
        <v>1920000</v>
      </c>
      <c r="U5" s="784">
        <f t="shared" si="4"/>
        <v>0</v>
      </c>
      <c r="V5" s="784">
        <f>$B$5*V4</f>
        <v>0</v>
      </c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>
        <f>SUM(C5:AU5)</f>
        <v>24000000</v>
      </c>
      <c r="AW5" s="785">
        <f t="shared" ref="AW5:AW26" si="5">B5</f>
        <v>24000000</v>
      </c>
      <c r="AX5" s="785">
        <f>AW5-AV5</f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</row>
    <row r="6" spans="1:74">
      <c r="A6" s="174" t="str">
        <f>'A Financial'!A47</f>
        <v>Parking stalls</v>
      </c>
      <c r="B6" s="783">
        <f>'A Financial'!C47</f>
        <v>4000000</v>
      </c>
      <c r="C6" s="784">
        <f>$B$6*C4</f>
        <v>0</v>
      </c>
      <c r="D6" s="784">
        <f t="shared" ref="D6:U6" si="6">$B$6*D4</f>
        <v>0</v>
      </c>
      <c r="E6" s="784">
        <f t="shared" si="6"/>
        <v>0</v>
      </c>
      <c r="F6" s="784">
        <f t="shared" si="6"/>
        <v>0</v>
      </c>
      <c r="G6" s="784">
        <f t="shared" si="6"/>
        <v>0</v>
      </c>
      <c r="H6" s="784">
        <f t="shared" si="6"/>
        <v>0</v>
      </c>
      <c r="I6" s="784">
        <f t="shared" si="6"/>
        <v>200000</v>
      </c>
      <c r="J6" s="784">
        <f t="shared" si="6"/>
        <v>200000</v>
      </c>
      <c r="K6" s="784">
        <f t="shared" si="6"/>
        <v>200000</v>
      </c>
      <c r="L6" s="784">
        <f t="shared" si="6"/>
        <v>200000</v>
      </c>
      <c r="M6" s="784">
        <f t="shared" si="6"/>
        <v>480000</v>
      </c>
      <c r="N6" s="784">
        <f t="shared" si="6"/>
        <v>480000</v>
      </c>
      <c r="O6" s="784">
        <f t="shared" si="6"/>
        <v>480000</v>
      </c>
      <c r="P6" s="784">
        <f t="shared" si="6"/>
        <v>480000</v>
      </c>
      <c r="Q6" s="784">
        <f t="shared" si="6"/>
        <v>320000</v>
      </c>
      <c r="R6" s="784">
        <f t="shared" si="6"/>
        <v>320000</v>
      </c>
      <c r="S6" s="784">
        <f t="shared" si="6"/>
        <v>320000</v>
      </c>
      <c r="T6" s="784">
        <f t="shared" si="6"/>
        <v>320000</v>
      </c>
      <c r="U6" s="784">
        <f t="shared" si="6"/>
        <v>0</v>
      </c>
      <c r="V6" s="784">
        <f>$B$6*V4</f>
        <v>0</v>
      </c>
      <c r="W6" s="785"/>
      <c r="X6" s="785"/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5"/>
      <c r="AS6" s="785"/>
      <c r="AT6" s="785"/>
      <c r="AU6" s="785"/>
      <c r="AV6" s="785">
        <f>SUM(C6:AU6)</f>
        <v>4000000</v>
      </c>
      <c r="AW6" s="785">
        <f t="shared" si="5"/>
        <v>4000000</v>
      </c>
      <c r="AX6" s="785">
        <f t="shared" ref="AX6:AX26" si="7">AW6-AV6</f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</row>
    <row r="7" spans="1:74">
      <c r="A7" s="174" t="str">
        <f>'A Financial'!A48</f>
        <v>Hard Cost Contingency</v>
      </c>
      <c r="B7" s="783">
        <f>'A Financial'!C48</f>
        <v>1680000.0000000002</v>
      </c>
      <c r="C7" s="784">
        <f t="shared" ref="C7:Q7" si="8">$B7*C$4</f>
        <v>0</v>
      </c>
      <c r="D7" s="784">
        <f t="shared" si="8"/>
        <v>0</v>
      </c>
      <c r="E7" s="784">
        <f t="shared" si="8"/>
        <v>0</v>
      </c>
      <c r="F7" s="784">
        <f t="shared" si="8"/>
        <v>0</v>
      </c>
      <c r="G7" s="784">
        <f t="shared" si="8"/>
        <v>0</v>
      </c>
      <c r="H7" s="784">
        <f t="shared" si="8"/>
        <v>0</v>
      </c>
      <c r="I7" s="784">
        <f t="shared" si="8"/>
        <v>84000.000000000015</v>
      </c>
      <c r="J7" s="784">
        <f t="shared" si="8"/>
        <v>84000.000000000015</v>
      </c>
      <c r="K7" s="784">
        <f t="shared" si="8"/>
        <v>84000.000000000015</v>
      </c>
      <c r="L7" s="784">
        <f t="shared" si="8"/>
        <v>84000.000000000015</v>
      </c>
      <c r="M7" s="784">
        <f t="shared" si="8"/>
        <v>201600.00000000003</v>
      </c>
      <c r="N7" s="784">
        <f t="shared" si="8"/>
        <v>201600.00000000003</v>
      </c>
      <c r="O7" s="784">
        <f t="shared" si="8"/>
        <v>201600.00000000003</v>
      </c>
      <c r="P7" s="784">
        <f t="shared" si="8"/>
        <v>201600.00000000003</v>
      </c>
      <c r="Q7" s="784">
        <f t="shared" si="8"/>
        <v>134400.00000000003</v>
      </c>
      <c r="R7" s="784">
        <f>$B7*R$4</f>
        <v>134400.00000000003</v>
      </c>
      <c r="S7" s="784">
        <f t="shared" ref="S7:U7" si="9">$B7*S$4</f>
        <v>134400.00000000003</v>
      </c>
      <c r="T7" s="784">
        <f t="shared" si="9"/>
        <v>134400.00000000003</v>
      </c>
      <c r="U7" s="784">
        <f t="shared" si="9"/>
        <v>0</v>
      </c>
      <c r="V7" s="784">
        <f>$B7*V$4</f>
        <v>0</v>
      </c>
      <c r="W7" s="785"/>
      <c r="X7" s="785"/>
      <c r="Y7" s="785"/>
      <c r="Z7" s="785"/>
      <c r="AA7" s="785"/>
      <c r="AB7" s="785"/>
      <c r="AC7" s="785"/>
      <c r="AD7" s="785"/>
      <c r="AE7" s="785"/>
      <c r="AF7" s="785"/>
      <c r="AG7" s="785"/>
      <c r="AH7" s="785"/>
      <c r="AI7" s="785"/>
      <c r="AJ7" s="785"/>
      <c r="AK7" s="785"/>
      <c r="AL7" s="785"/>
      <c r="AM7" s="785"/>
      <c r="AN7" s="785"/>
      <c r="AO7" s="785"/>
      <c r="AP7" s="785"/>
      <c r="AQ7" s="785"/>
      <c r="AR7" s="785"/>
      <c r="AS7" s="785"/>
      <c r="AT7" s="785"/>
      <c r="AU7" s="785"/>
      <c r="AV7" s="785">
        <f>SUM(C7:AU7)</f>
        <v>1680000.0000000002</v>
      </c>
      <c r="AW7" s="785">
        <f t="shared" si="5"/>
        <v>1680000.0000000002</v>
      </c>
      <c r="AX7" s="785">
        <f t="shared" si="7"/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74">
      <c r="A8" s="174" t="str">
        <f>'A Financial'!A49</f>
        <v>Demolition</v>
      </c>
      <c r="B8" s="783">
        <f>'A Financial'!C49</f>
        <v>0</v>
      </c>
      <c r="C8" s="784"/>
      <c r="D8" s="784"/>
      <c r="E8" s="784"/>
      <c r="F8" s="784"/>
      <c r="G8" s="784"/>
      <c r="H8" s="784"/>
      <c r="I8" s="784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5"/>
      <c r="X8" s="785"/>
      <c r="Y8" s="785"/>
      <c r="Z8" s="785"/>
      <c r="AA8" s="785"/>
      <c r="AB8" s="785"/>
      <c r="AC8" s="785"/>
      <c r="AD8" s="785"/>
      <c r="AE8" s="785"/>
      <c r="AF8" s="785"/>
      <c r="AG8" s="785"/>
      <c r="AH8" s="785"/>
      <c r="AI8" s="785"/>
      <c r="AJ8" s="785"/>
      <c r="AK8" s="785"/>
      <c r="AL8" s="785"/>
      <c r="AM8" s="785"/>
      <c r="AN8" s="785"/>
      <c r="AO8" s="785"/>
      <c r="AP8" s="785"/>
      <c r="AQ8" s="785"/>
      <c r="AR8" s="785"/>
      <c r="AS8" s="785"/>
      <c r="AT8" s="785"/>
      <c r="AU8" s="785"/>
      <c r="AV8" s="785">
        <f>SUM(C8:AU8)</f>
        <v>0</v>
      </c>
      <c r="AW8" s="785">
        <f t="shared" si="5"/>
        <v>0</v>
      </c>
      <c r="AX8" s="785">
        <f t="shared" si="7"/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>
      <c r="A9" s="174" t="str">
        <f>'A Financial'!A50</f>
        <v>LAND</v>
      </c>
      <c r="B9" s="783">
        <f>'A Financial'!C50</f>
        <v>1356231.888</v>
      </c>
      <c r="C9" s="250"/>
      <c r="D9" s="786"/>
      <c r="E9" s="784">
        <f>B9*0.05</f>
        <v>67811.594400000002</v>
      </c>
      <c r="F9" s="784"/>
      <c r="G9" s="787"/>
      <c r="H9" s="787"/>
      <c r="I9" s="784">
        <f>$B9-$E9</f>
        <v>1288420.2936</v>
      </c>
      <c r="J9" s="788"/>
      <c r="K9" s="786"/>
      <c r="L9" s="786"/>
      <c r="M9" s="789"/>
      <c r="N9" s="786"/>
      <c r="O9" s="786"/>
      <c r="P9" s="786"/>
      <c r="Q9" s="786">
        <v>0</v>
      </c>
      <c r="R9" s="786">
        <v>0</v>
      </c>
      <c r="S9" s="786">
        <v>0</v>
      </c>
      <c r="T9" s="786">
        <v>0</v>
      </c>
      <c r="U9" s="786">
        <v>0</v>
      </c>
      <c r="V9" s="786">
        <v>0</v>
      </c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0"/>
      <c r="AS9" s="790"/>
      <c r="AT9" s="790"/>
      <c r="AU9" s="790"/>
      <c r="AV9" s="785">
        <f>SUM(D9:AU9)</f>
        <v>1356231.888</v>
      </c>
      <c r="AW9" s="785">
        <f t="shared" si="5"/>
        <v>1356231.888</v>
      </c>
      <c r="AX9" s="785">
        <f t="shared" si="7"/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</row>
    <row r="10" spans="1:74">
      <c r="A10" s="174" t="str">
        <f>'A Financial'!A51</f>
        <v>Municipal Fees and Allowances</v>
      </c>
      <c r="B10" s="783">
        <f>'A Financial'!C51</f>
        <v>28800</v>
      </c>
      <c r="C10" s="789"/>
      <c r="D10" s="786"/>
      <c r="E10" s="784"/>
      <c r="F10" s="784"/>
      <c r="G10" s="784"/>
      <c r="H10" s="787"/>
      <c r="I10" s="784">
        <f>$B10</f>
        <v>28800</v>
      </c>
      <c r="J10" s="784"/>
      <c r="K10" s="786"/>
      <c r="L10" s="786"/>
      <c r="M10" s="786"/>
      <c r="N10" s="786"/>
      <c r="O10" s="786"/>
      <c r="P10" s="786"/>
      <c r="Q10" s="786"/>
      <c r="R10" s="786"/>
      <c r="S10" s="251"/>
      <c r="T10" s="786"/>
      <c r="U10" s="786"/>
      <c r="V10" s="786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790"/>
      <c r="AK10" s="790"/>
      <c r="AL10" s="790"/>
      <c r="AM10" s="790"/>
      <c r="AN10" s="790"/>
      <c r="AO10" s="790"/>
      <c r="AP10" s="790"/>
      <c r="AQ10" s="790"/>
      <c r="AR10" s="790"/>
      <c r="AS10" s="790"/>
      <c r="AT10" s="790"/>
      <c r="AU10" s="790"/>
      <c r="AV10" s="785">
        <f t="shared" ref="AV10:AV26" si="10">SUM(C10:AU10)</f>
        <v>28800</v>
      </c>
      <c r="AW10" s="785">
        <f t="shared" si="5"/>
        <v>28800</v>
      </c>
      <c r="AX10" s="785">
        <f t="shared" si="7"/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>
      <c r="A11" s="174" t="str">
        <f>'A Financial'!A52</f>
        <v>Infrastructure allocation</v>
      </c>
      <c r="B11" s="783">
        <f>'A Financial'!C52</f>
        <v>110000</v>
      </c>
      <c r="C11" s="791"/>
      <c r="D11" s="790"/>
      <c r="E11" s="792"/>
      <c r="F11" s="792"/>
      <c r="G11" s="792"/>
      <c r="H11" s="792"/>
      <c r="I11" s="792"/>
      <c r="J11" s="792"/>
      <c r="K11" s="790"/>
      <c r="L11" s="790"/>
      <c r="M11" s="790"/>
      <c r="N11" s="790"/>
      <c r="O11" s="790"/>
      <c r="P11" s="790"/>
      <c r="Q11" s="790"/>
      <c r="R11" s="784">
        <f>$B11/2</f>
        <v>55000</v>
      </c>
      <c r="S11" s="784">
        <f>$B11/2</f>
        <v>55000</v>
      </c>
      <c r="T11" s="790"/>
      <c r="U11" s="787"/>
      <c r="V11" s="787"/>
      <c r="W11" s="793"/>
      <c r="X11" s="793"/>
      <c r="Y11" s="793"/>
      <c r="Z11" s="793"/>
      <c r="AA11" s="793"/>
      <c r="AB11" s="793"/>
      <c r="AC11" s="793"/>
      <c r="AD11" s="793"/>
      <c r="AE11" s="793"/>
      <c r="AF11" s="793"/>
      <c r="AG11" s="793"/>
      <c r="AH11" s="793"/>
      <c r="AI11" s="793"/>
      <c r="AJ11" s="793"/>
      <c r="AK11" s="793"/>
      <c r="AL11" s="793"/>
      <c r="AM11" s="793"/>
      <c r="AN11" s="793"/>
      <c r="AO11" s="793"/>
      <c r="AP11" s="793"/>
      <c r="AQ11" s="790"/>
      <c r="AR11" s="790"/>
      <c r="AS11" s="790"/>
      <c r="AT11" s="790"/>
      <c r="AU11" s="790"/>
      <c r="AV11" s="785">
        <f t="shared" si="10"/>
        <v>110000</v>
      </c>
      <c r="AW11" s="785">
        <f t="shared" si="5"/>
        <v>110000</v>
      </c>
      <c r="AX11" s="785">
        <f t="shared" si="7"/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>
      <c r="A12" s="174" t="str">
        <f>'A Financial'!A53</f>
        <v>Legal</v>
      </c>
      <c r="B12" s="783">
        <f>'A Financial'!C53</f>
        <v>400000</v>
      </c>
      <c r="C12" s="791"/>
      <c r="D12" s="791"/>
      <c r="E12" s="784">
        <v>100000</v>
      </c>
      <c r="F12" s="784">
        <v>100000</v>
      </c>
      <c r="G12" s="784">
        <v>50000</v>
      </c>
      <c r="H12" s="784">
        <v>50000</v>
      </c>
      <c r="I12" s="784">
        <v>50000</v>
      </c>
      <c r="J12" s="784">
        <v>50000</v>
      </c>
      <c r="K12" s="790"/>
      <c r="L12" s="790"/>
      <c r="M12" s="790"/>
      <c r="N12" s="790"/>
      <c r="O12" s="790"/>
      <c r="P12" s="790"/>
      <c r="Q12" s="790"/>
      <c r="R12" s="790"/>
      <c r="S12" s="790"/>
      <c r="T12" s="790"/>
      <c r="U12" s="786"/>
      <c r="V12" s="786"/>
      <c r="W12" s="790"/>
      <c r="X12" s="790"/>
      <c r="Y12" s="790"/>
      <c r="Z12" s="790"/>
      <c r="AA12" s="790"/>
      <c r="AB12" s="790"/>
      <c r="AC12" s="790"/>
      <c r="AD12" s="790"/>
      <c r="AE12" s="790"/>
      <c r="AF12" s="790"/>
      <c r="AG12" s="790"/>
      <c r="AH12" s="790"/>
      <c r="AI12" s="790"/>
      <c r="AJ12" s="790"/>
      <c r="AK12" s="790"/>
      <c r="AL12" s="790"/>
      <c r="AM12" s="790"/>
      <c r="AN12" s="790"/>
      <c r="AO12" s="790"/>
      <c r="AP12" s="790"/>
      <c r="AQ12" s="790"/>
      <c r="AR12" s="790"/>
      <c r="AS12" s="790"/>
      <c r="AT12" s="790"/>
      <c r="AU12" s="790"/>
      <c r="AV12" s="785">
        <f t="shared" si="10"/>
        <v>400000</v>
      </c>
      <c r="AW12" s="785">
        <f t="shared" si="5"/>
        <v>400000</v>
      </c>
      <c r="AX12" s="785">
        <f t="shared" si="7"/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>
      <c r="A13" s="174" t="str">
        <f>'A Financial'!A54</f>
        <v>Land Closing Costs/commissions</v>
      </c>
      <c r="B13" s="783">
        <f>'A Financial'!C54</f>
        <v>86025</v>
      </c>
      <c r="C13" s="788"/>
      <c r="D13" s="784"/>
      <c r="E13" s="784"/>
      <c r="F13" s="784"/>
      <c r="G13" s="250"/>
      <c r="H13" s="784">
        <f>B13</f>
        <v>86025</v>
      </c>
      <c r="I13" s="784"/>
      <c r="J13" s="784"/>
      <c r="K13" s="784"/>
      <c r="L13" s="784"/>
      <c r="M13" s="784"/>
      <c r="N13" s="784"/>
      <c r="O13" s="784"/>
      <c r="P13" s="784"/>
      <c r="Q13" s="784"/>
      <c r="R13" s="784"/>
      <c r="S13" s="784"/>
      <c r="T13" s="784"/>
      <c r="U13" s="784"/>
      <c r="V13" s="784"/>
      <c r="W13" s="785"/>
      <c r="X13" s="785"/>
      <c r="Y13" s="785"/>
      <c r="Z13" s="785"/>
      <c r="AA13" s="785"/>
      <c r="AB13" s="785"/>
      <c r="AC13" s="785"/>
      <c r="AD13" s="785"/>
      <c r="AE13" s="785"/>
      <c r="AF13" s="785"/>
      <c r="AG13" s="785"/>
      <c r="AH13" s="785"/>
      <c r="AI13" s="785"/>
      <c r="AJ13" s="785"/>
      <c r="AK13" s="785"/>
      <c r="AL13" s="785"/>
      <c r="AM13" s="785"/>
      <c r="AN13" s="785"/>
      <c r="AO13" s="785"/>
      <c r="AP13" s="785"/>
      <c r="AQ13" s="785"/>
      <c r="AR13" s="785"/>
      <c r="AS13" s="785"/>
      <c r="AT13" s="785"/>
      <c r="AU13" s="785"/>
      <c r="AV13" s="785">
        <f t="shared" si="10"/>
        <v>86025</v>
      </c>
      <c r="AW13" s="785">
        <f t="shared" si="5"/>
        <v>86025</v>
      </c>
      <c r="AX13" s="785">
        <f t="shared" si="7"/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>
      <c r="A14" s="174" t="str">
        <f>'A Financial'!A55</f>
        <v>Landscaping</v>
      </c>
      <c r="B14" s="783">
        <f>'A Financial'!C55</f>
        <v>482644.8</v>
      </c>
      <c r="C14" s="788"/>
      <c r="D14" s="784"/>
      <c r="E14" s="784"/>
      <c r="F14" s="784"/>
      <c r="G14" s="250"/>
      <c r="H14" s="784"/>
      <c r="I14" s="784">
        <f>$B$14*I4</f>
        <v>24132.240000000002</v>
      </c>
      <c r="J14" s="784">
        <f t="shared" ref="J14:AU14" si="11">$B$14*J4</f>
        <v>24132.240000000002</v>
      </c>
      <c r="K14" s="784">
        <f t="shared" si="11"/>
        <v>24132.240000000002</v>
      </c>
      <c r="L14" s="784">
        <f t="shared" si="11"/>
        <v>24132.240000000002</v>
      </c>
      <c r="M14" s="784">
        <f t="shared" si="11"/>
        <v>57917.375999999997</v>
      </c>
      <c r="N14" s="784">
        <f t="shared" si="11"/>
        <v>57917.375999999997</v>
      </c>
      <c r="O14" s="784">
        <f t="shared" si="11"/>
        <v>57917.375999999997</v>
      </c>
      <c r="P14" s="784">
        <f t="shared" si="11"/>
        <v>57917.375999999997</v>
      </c>
      <c r="Q14" s="784">
        <f t="shared" si="11"/>
        <v>38611.584000000003</v>
      </c>
      <c r="R14" s="784">
        <f t="shared" si="11"/>
        <v>38611.584000000003</v>
      </c>
      <c r="S14" s="784">
        <f t="shared" si="11"/>
        <v>38611.584000000003</v>
      </c>
      <c r="T14" s="784">
        <f t="shared" si="11"/>
        <v>38611.584000000003</v>
      </c>
      <c r="U14" s="784">
        <f t="shared" si="11"/>
        <v>0</v>
      </c>
      <c r="V14" s="784">
        <f t="shared" si="11"/>
        <v>0</v>
      </c>
      <c r="W14" s="784">
        <f t="shared" si="11"/>
        <v>0</v>
      </c>
      <c r="X14" s="784">
        <f t="shared" si="11"/>
        <v>0</v>
      </c>
      <c r="Y14" s="784">
        <f t="shared" si="11"/>
        <v>0</v>
      </c>
      <c r="Z14" s="784">
        <f t="shared" si="11"/>
        <v>0</v>
      </c>
      <c r="AA14" s="784">
        <f t="shared" si="11"/>
        <v>0</v>
      </c>
      <c r="AB14" s="784">
        <f t="shared" si="11"/>
        <v>0</v>
      </c>
      <c r="AC14" s="784">
        <f t="shared" si="11"/>
        <v>0</v>
      </c>
      <c r="AD14" s="784">
        <f t="shared" si="11"/>
        <v>0</v>
      </c>
      <c r="AE14" s="784">
        <f t="shared" si="11"/>
        <v>0</v>
      </c>
      <c r="AF14" s="784">
        <f t="shared" si="11"/>
        <v>0</v>
      </c>
      <c r="AG14" s="784">
        <f t="shared" si="11"/>
        <v>0</v>
      </c>
      <c r="AH14" s="784">
        <f t="shared" si="11"/>
        <v>0</v>
      </c>
      <c r="AI14" s="784">
        <f t="shared" si="11"/>
        <v>0</v>
      </c>
      <c r="AJ14" s="784">
        <f t="shared" si="11"/>
        <v>0</v>
      </c>
      <c r="AK14" s="784">
        <f t="shared" si="11"/>
        <v>0</v>
      </c>
      <c r="AL14" s="784">
        <f t="shared" si="11"/>
        <v>0</v>
      </c>
      <c r="AM14" s="784">
        <f t="shared" si="11"/>
        <v>0</v>
      </c>
      <c r="AN14" s="784">
        <f t="shared" si="11"/>
        <v>0</v>
      </c>
      <c r="AO14" s="784">
        <f t="shared" si="11"/>
        <v>0</v>
      </c>
      <c r="AP14" s="784">
        <f t="shared" si="11"/>
        <v>0</v>
      </c>
      <c r="AQ14" s="784">
        <f t="shared" si="11"/>
        <v>0</v>
      </c>
      <c r="AR14" s="784">
        <f t="shared" si="11"/>
        <v>0</v>
      </c>
      <c r="AS14" s="784">
        <f t="shared" si="11"/>
        <v>0</v>
      </c>
      <c r="AT14" s="784">
        <f t="shared" si="11"/>
        <v>0</v>
      </c>
      <c r="AU14" s="784">
        <f t="shared" si="11"/>
        <v>0</v>
      </c>
      <c r="AV14" s="785">
        <f t="shared" ref="AV14" si="12">SUM(C14:AU14)</f>
        <v>482644.80000000005</v>
      </c>
      <c r="AW14" s="785">
        <f t="shared" ref="AW14" si="13">B14</f>
        <v>482644.8</v>
      </c>
      <c r="AX14" s="785">
        <f t="shared" ref="AX14" si="14">AW14-AV14</f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>
      <c r="A15" s="174" t="str">
        <f>'A Financial'!A56</f>
        <v xml:space="preserve">Design </v>
      </c>
      <c r="B15" s="783">
        <f>'A Financial'!C56</f>
        <v>770400</v>
      </c>
      <c r="C15" s="784"/>
      <c r="D15" s="784"/>
      <c r="E15" s="784">
        <f>0.3*$B15</f>
        <v>231120</v>
      </c>
      <c r="F15" s="784">
        <f>0.3*$B15</f>
        <v>231120</v>
      </c>
      <c r="G15" s="784">
        <f>0.1*$B15</f>
        <v>77040</v>
      </c>
      <c r="H15" s="784">
        <f>0.1*$B15</f>
        <v>77040</v>
      </c>
      <c r="I15" s="784">
        <f>0.05*$B15</f>
        <v>38520</v>
      </c>
      <c r="J15" s="784">
        <f>0.02*$B15</f>
        <v>15408</v>
      </c>
      <c r="K15" s="784">
        <f t="shared" ref="K15:N15" si="15">0.02*$B15</f>
        <v>15408</v>
      </c>
      <c r="L15" s="784">
        <f t="shared" si="15"/>
        <v>15408</v>
      </c>
      <c r="M15" s="784">
        <f t="shared" si="15"/>
        <v>15408</v>
      </c>
      <c r="N15" s="784">
        <f t="shared" si="15"/>
        <v>15408</v>
      </c>
      <c r="O15" s="784">
        <f>0.01*$B15</f>
        <v>7704</v>
      </c>
      <c r="P15" s="784">
        <f t="shared" ref="P15:S15" si="16">0.01*$B15</f>
        <v>7704</v>
      </c>
      <c r="Q15" s="784">
        <f t="shared" si="16"/>
        <v>7704</v>
      </c>
      <c r="R15" s="784">
        <f t="shared" si="16"/>
        <v>7704</v>
      </c>
      <c r="S15" s="784">
        <f t="shared" si="16"/>
        <v>7704</v>
      </c>
      <c r="T15" s="784"/>
      <c r="U15" s="784"/>
      <c r="V15" s="784"/>
      <c r="W15" s="785"/>
      <c r="X15" s="785"/>
      <c r="Y15" s="785"/>
      <c r="Z15" s="785"/>
      <c r="AA15" s="785"/>
      <c r="AB15" s="785"/>
      <c r="AC15" s="785"/>
      <c r="AD15" s="785"/>
      <c r="AE15" s="785"/>
      <c r="AF15" s="785"/>
      <c r="AG15" s="785"/>
      <c r="AH15" s="785"/>
      <c r="AI15" s="785"/>
      <c r="AJ15" s="785"/>
      <c r="AK15" s="785"/>
      <c r="AL15" s="785"/>
      <c r="AM15" s="785"/>
      <c r="AN15" s="785"/>
      <c r="AO15" s="785"/>
      <c r="AP15" s="785"/>
      <c r="AQ15" s="785"/>
      <c r="AR15" s="785"/>
      <c r="AS15" s="785"/>
      <c r="AT15" s="785"/>
      <c r="AU15" s="785"/>
      <c r="AV15" s="785">
        <f t="shared" si="10"/>
        <v>770400</v>
      </c>
      <c r="AW15" s="785">
        <f t="shared" si="5"/>
        <v>770400</v>
      </c>
      <c r="AX15" s="785">
        <f t="shared" si="7"/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>
      <c r="A16" s="174" t="str">
        <f>'A Financial'!A57</f>
        <v>Developer Fee</v>
      </c>
      <c r="B16" s="783">
        <f>'A Financial'!C57</f>
        <v>987423.05064000003</v>
      </c>
      <c r="C16" s="784">
        <f>$B16*C$4</f>
        <v>0</v>
      </c>
      <c r="D16" s="784">
        <f t="shared" ref="D16:G16" si="17">$B16*D4</f>
        <v>0</v>
      </c>
      <c r="E16" s="784">
        <f t="shared" si="17"/>
        <v>0</v>
      </c>
      <c r="F16" s="784">
        <f t="shared" si="17"/>
        <v>0</v>
      </c>
      <c r="G16" s="784">
        <f t="shared" si="17"/>
        <v>0</v>
      </c>
      <c r="H16" s="784"/>
      <c r="I16" s="784">
        <f>$B16/12</f>
        <v>82285.254220000003</v>
      </c>
      <c r="J16" s="784">
        <f t="shared" ref="J16:T17" si="18">$B16/12</f>
        <v>82285.254220000003</v>
      </c>
      <c r="K16" s="784">
        <f t="shared" si="18"/>
        <v>82285.254220000003</v>
      </c>
      <c r="L16" s="784">
        <f t="shared" si="18"/>
        <v>82285.254220000003</v>
      </c>
      <c r="M16" s="784">
        <f t="shared" si="18"/>
        <v>82285.254220000003</v>
      </c>
      <c r="N16" s="784">
        <f t="shared" si="18"/>
        <v>82285.254220000003</v>
      </c>
      <c r="O16" s="784">
        <f t="shared" si="18"/>
        <v>82285.254220000003</v>
      </c>
      <c r="P16" s="784">
        <f t="shared" si="18"/>
        <v>82285.254220000003</v>
      </c>
      <c r="Q16" s="784">
        <f t="shared" si="18"/>
        <v>82285.254220000003</v>
      </c>
      <c r="R16" s="784">
        <f t="shared" si="18"/>
        <v>82285.254220000003</v>
      </c>
      <c r="S16" s="784">
        <f t="shared" si="18"/>
        <v>82285.254220000003</v>
      </c>
      <c r="T16" s="784">
        <f t="shared" si="18"/>
        <v>82285.254220000003</v>
      </c>
      <c r="U16" s="784"/>
      <c r="V16" s="784"/>
      <c r="W16" s="785"/>
      <c r="X16" s="785"/>
      <c r="Y16" s="785"/>
      <c r="Z16" s="785"/>
      <c r="AA16" s="785"/>
      <c r="AB16" s="785"/>
      <c r="AC16" s="785"/>
      <c r="AD16" s="785"/>
      <c r="AE16" s="785"/>
      <c r="AF16" s="785"/>
      <c r="AG16" s="785"/>
      <c r="AH16" s="785"/>
      <c r="AI16" s="785"/>
      <c r="AJ16" s="785"/>
      <c r="AK16" s="785"/>
      <c r="AL16" s="785"/>
      <c r="AM16" s="785"/>
      <c r="AN16" s="785"/>
      <c r="AO16" s="785"/>
      <c r="AP16" s="785"/>
      <c r="AQ16" s="785"/>
      <c r="AR16" s="785"/>
      <c r="AS16" s="785"/>
      <c r="AT16" s="785"/>
      <c r="AU16" s="785"/>
      <c r="AV16" s="785">
        <f t="shared" si="10"/>
        <v>987423.05064000003</v>
      </c>
      <c r="AW16" s="785">
        <f t="shared" si="5"/>
        <v>987423.05064000003</v>
      </c>
      <c r="AX16" s="785">
        <f t="shared" si="7"/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>
      <c r="A17" s="174" t="str">
        <f>'A Financial'!A58</f>
        <v>Construction Management Fee</v>
      </c>
      <c r="B17" s="783">
        <f>'A Financial'!C58</f>
        <v>513600</v>
      </c>
      <c r="C17" s="784">
        <f>$B17*C$4</f>
        <v>0</v>
      </c>
      <c r="D17" s="784">
        <f t="shared" ref="D17:G17" si="19">$B17*D$4</f>
        <v>0</v>
      </c>
      <c r="E17" s="784">
        <f t="shared" si="19"/>
        <v>0</v>
      </c>
      <c r="F17" s="784">
        <f t="shared" si="19"/>
        <v>0</v>
      </c>
      <c r="G17" s="784">
        <f t="shared" si="19"/>
        <v>0</v>
      </c>
      <c r="H17" s="784"/>
      <c r="I17" s="784">
        <f>$B17/12</f>
        <v>42800</v>
      </c>
      <c r="J17" s="784">
        <f t="shared" si="18"/>
        <v>42800</v>
      </c>
      <c r="K17" s="784">
        <f t="shared" si="18"/>
        <v>42800</v>
      </c>
      <c r="L17" s="784">
        <f t="shared" si="18"/>
        <v>42800</v>
      </c>
      <c r="M17" s="784">
        <f t="shared" si="18"/>
        <v>42800</v>
      </c>
      <c r="N17" s="784">
        <f t="shared" si="18"/>
        <v>42800</v>
      </c>
      <c r="O17" s="784">
        <f t="shared" si="18"/>
        <v>42800</v>
      </c>
      <c r="P17" s="784">
        <f t="shared" si="18"/>
        <v>42800</v>
      </c>
      <c r="Q17" s="784">
        <f t="shared" si="18"/>
        <v>42800</v>
      </c>
      <c r="R17" s="784">
        <f t="shared" si="18"/>
        <v>42800</v>
      </c>
      <c r="S17" s="784">
        <f t="shared" si="18"/>
        <v>42800</v>
      </c>
      <c r="T17" s="784">
        <f t="shared" si="18"/>
        <v>42800</v>
      </c>
      <c r="U17" s="784"/>
      <c r="V17" s="784"/>
      <c r="W17" s="785"/>
      <c r="X17" s="785"/>
      <c r="Y17" s="785"/>
      <c r="Z17" s="785"/>
      <c r="AA17" s="785"/>
      <c r="AB17" s="785"/>
      <c r="AC17" s="785"/>
      <c r="AD17" s="785"/>
      <c r="AE17" s="785"/>
      <c r="AF17" s="785"/>
      <c r="AG17" s="785"/>
      <c r="AH17" s="785"/>
      <c r="AI17" s="785"/>
      <c r="AJ17" s="785"/>
      <c r="AK17" s="785"/>
      <c r="AL17" s="785"/>
      <c r="AM17" s="785"/>
      <c r="AN17" s="785"/>
      <c r="AO17" s="785"/>
      <c r="AP17" s="785"/>
      <c r="AQ17" s="785"/>
      <c r="AR17" s="785"/>
      <c r="AS17" s="785"/>
      <c r="AT17" s="785"/>
      <c r="AU17" s="785"/>
      <c r="AV17" s="785">
        <f t="shared" si="10"/>
        <v>513600</v>
      </c>
      <c r="AW17" s="785">
        <f t="shared" si="5"/>
        <v>513600</v>
      </c>
      <c r="AX17" s="785">
        <f t="shared" si="7"/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>
      <c r="A18" s="174" t="str">
        <f>'A Financial'!A59</f>
        <v>Taxes</v>
      </c>
      <c r="B18" s="783">
        <f>'A Financial'!C59</f>
        <v>1096272.5538461539</v>
      </c>
      <c r="C18" s="788"/>
      <c r="D18" s="784"/>
      <c r="E18" s="784"/>
      <c r="F18" s="784"/>
      <c r="G18" s="787"/>
      <c r="H18" s="784">
        <f>$B18/10</f>
        <v>109627.25538461539</v>
      </c>
      <c r="I18" s="784"/>
      <c r="J18" s="784">
        <f>$B18/8</f>
        <v>137034.06923076924</v>
      </c>
      <c r="K18" s="784"/>
      <c r="L18" s="784">
        <f>$B18/6</f>
        <v>182712.09230769231</v>
      </c>
      <c r="M18" s="784"/>
      <c r="N18" s="784">
        <f>$B18/4</f>
        <v>274068.13846153847</v>
      </c>
      <c r="O18" s="784"/>
      <c r="P18" s="784">
        <f>$B18/6</f>
        <v>182712.09230769231</v>
      </c>
      <c r="Q18" s="250"/>
      <c r="R18" s="784"/>
      <c r="S18" s="250"/>
      <c r="T18" s="784">
        <f>B18-SUM(H18:S18)</f>
        <v>210118.90615384618</v>
      </c>
      <c r="U18" s="784"/>
      <c r="V18" s="784"/>
      <c r="W18" s="785"/>
      <c r="X18" s="785"/>
      <c r="Y18" s="785"/>
      <c r="Z18" s="785"/>
      <c r="AA18" s="785"/>
      <c r="AB18" s="785"/>
      <c r="AC18" s="785"/>
      <c r="AD18" s="785"/>
      <c r="AE18" s="785"/>
      <c r="AF18" s="785"/>
      <c r="AG18" s="785"/>
      <c r="AH18" s="785"/>
      <c r="AI18" s="785"/>
      <c r="AJ18" s="785"/>
      <c r="AK18" s="785"/>
      <c r="AL18" s="785"/>
      <c r="AM18" s="785"/>
      <c r="AN18" s="785"/>
      <c r="AO18" s="785"/>
      <c r="AP18" s="785"/>
      <c r="AQ18" s="785"/>
      <c r="AR18" s="785"/>
      <c r="AT18" s="785"/>
      <c r="AU18" s="785"/>
      <c r="AV18" s="785">
        <f t="shared" si="10"/>
        <v>1096272.5538461539</v>
      </c>
      <c r="AW18" s="785">
        <f t="shared" si="5"/>
        <v>1096272.5538461539</v>
      </c>
      <c r="AX18" s="785">
        <f t="shared" si="7"/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>
      <c r="A19" s="174" t="str">
        <f>'A Financial'!A60</f>
        <v>Insurance</v>
      </c>
      <c r="B19" s="783">
        <f>'A Financial'!C60</f>
        <v>624000</v>
      </c>
      <c r="C19" s="788"/>
      <c r="D19" s="787"/>
      <c r="E19" s="787"/>
      <c r="F19" s="784"/>
      <c r="G19" s="784"/>
      <c r="H19" s="784"/>
      <c r="I19" s="784">
        <v>10000</v>
      </c>
      <c r="J19" s="784">
        <v>10000</v>
      </c>
      <c r="K19" s="784"/>
      <c r="L19" s="788">
        <f>$B19-SUM(C19:K19)</f>
        <v>604000</v>
      </c>
      <c r="M19" s="784"/>
      <c r="N19" s="784"/>
      <c r="O19" s="784"/>
      <c r="P19" s="784"/>
      <c r="Q19" s="784"/>
      <c r="R19" s="784"/>
      <c r="S19" s="784"/>
      <c r="T19" s="250"/>
      <c r="U19" s="784"/>
      <c r="V19" s="784">
        <f>$B19-SUM(C19:U19)</f>
        <v>0</v>
      </c>
      <c r="W19" s="785"/>
      <c r="X19" s="785"/>
      <c r="Y19" s="785"/>
      <c r="Z19" s="785"/>
      <c r="AA19" s="785"/>
      <c r="AB19" s="785"/>
      <c r="AC19" s="785"/>
      <c r="AD19" s="785"/>
      <c r="AE19" s="785"/>
      <c r="AF19" s="785"/>
      <c r="AG19" s="785"/>
      <c r="AH19" s="785"/>
      <c r="AI19" s="785"/>
      <c r="AJ19" s="785"/>
      <c r="AK19" s="785"/>
      <c r="AL19" s="785"/>
      <c r="AM19" s="785"/>
      <c r="AN19" s="785"/>
      <c r="AO19" s="785"/>
      <c r="AP19" s="785"/>
      <c r="AQ19" s="785"/>
      <c r="AR19" s="785"/>
      <c r="AS19" s="785"/>
      <c r="AT19" s="785"/>
      <c r="AU19" s="785"/>
      <c r="AV19" s="785">
        <f t="shared" si="10"/>
        <v>624000</v>
      </c>
      <c r="AW19" s="785">
        <f t="shared" si="5"/>
        <v>624000</v>
      </c>
      <c r="AX19" s="785">
        <f t="shared" si="7"/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>
      <c r="A20" s="174" t="str">
        <f>'A Financial'!A61</f>
        <v>Marketing, FFE and Preleasing</v>
      </c>
      <c r="B20" s="783">
        <f>'A Financial'!C61</f>
        <v>200000</v>
      </c>
      <c r="C20" s="788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>
        <f>$B20/2</f>
        <v>100000</v>
      </c>
      <c r="T20" s="784">
        <f>$B20/2</f>
        <v>100000</v>
      </c>
      <c r="U20" s="784"/>
      <c r="V20" s="784"/>
      <c r="W20" s="785"/>
      <c r="X20" s="785"/>
      <c r="Y20" s="785"/>
      <c r="Z20" s="785"/>
      <c r="AA20" s="785"/>
      <c r="AB20" s="785"/>
      <c r="AC20" s="785"/>
      <c r="AD20" s="785"/>
      <c r="AE20" s="785"/>
      <c r="AF20" s="785"/>
      <c r="AG20" s="785"/>
      <c r="AH20" s="785"/>
      <c r="AI20" s="785"/>
      <c r="AJ20" s="785"/>
      <c r="AK20" s="785"/>
      <c r="AL20" s="785"/>
      <c r="AM20" s="785"/>
      <c r="AN20" s="785"/>
      <c r="AO20" s="785"/>
      <c r="AP20" s="785"/>
      <c r="AQ20" s="785"/>
      <c r="AR20" s="785"/>
      <c r="AS20" s="544"/>
      <c r="AT20" s="544"/>
      <c r="AU20" s="544"/>
      <c r="AV20" s="785">
        <f t="shared" si="10"/>
        <v>200000</v>
      </c>
      <c r="AW20" s="785">
        <f t="shared" si="5"/>
        <v>200000</v>
      </c>
      <c r="AX20" s="785">
        <f t="shared" si="7"/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>
      <c r="A21" s="174" t="str">
        <f>'A Financial'!A62</f>
        <v>Operating Deficit</v>
      </c>
      <c r="B21" s="783">
        <f>'A Financial'!C62</f>
        <v>657000</v>
      </c>
      <c r="C21" s="788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94">
        <f>('A Financial'!$D$42+'A DRAW'!$B33)/4</f>
        <v>455818.98162683763</v>
      </c>
      <c r="V21" s="794">
        <f>(('A Financial'!$D$42+'A DRAW'!$B33)/4)-155451-37644</f>
        <v>262723.98162683763</v>
      </c>
      <c r="W21" s="544"/>
      <c r="X21" s="544"/>
      <c r="Y21" s="544"/>
      <c r="Z21" s="544"/>
      <c r="AA21" s="544"/>
      <c r="AB21" s="544"/>
      <c r="AC21" s="544"/>
      <c r="AD21" s="544"/>
      <c r="AE21" s="544"/>
      <c r="AF21" s="544"/>
      <c r="AG21" s="544"/>
      <c r="AH21" s="544"/>
      <c r="AI21" s="544"/>
      <c r="AJ21" s="544"/>
      <c r="AK21" s="544"/>
      <c r="AL21" s="544"/>
      <c r="AM21" s="544"/>
      <c r="AN21" s="544"/>
      <c r="AO21" s="544"/>
      <c r="AP21" s="544"/>
      <c r="AQ21" s="785"/>
      <c r="AR21" s="785"/>
      <c r="AS21" s="785"/>
      <c r="AT21" s="785"/>
      <c r="AU21" s="795"/>
      <c r="AV21" s="785">
        <f t="shared" si="10"/>
        <v>718542.96325367526</v>
      </c>
      <c r="AW21" s="785">
        <f t="shared" si="5"/>
        <v>657000</v>
      </c>
      <c r="AX21" s="785">
        <f t="shared" si="7"/>
        <v>-61542.963253675262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>
      <c r="A22" s="174" t="str">
        <f>'A Financial'!A63</f>
        <v>Retail Tenant Improvements</v>
      </c>
      <c r="B22" s="783">
        <f>'A Financial'!C63</f>
        <v>4500000</v>
      </c>
      <c r="C22" s="788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>
        <f>$B22/2</f>
        <v>2250000</v>
      </c>
      <c r="T22" s="784">
        <f>$B22/2</f>
        <v>2250000</v>
      </c>
      <c r="U22" s="784"/>
      <c r="V22" s="784"/>
      <c r="W22" s="785"/>
      <c r="X22" s="785"/>
      <c r="Y22" s="785"/>
      <c r="Z22" s="785"/>
      <c r="AA22" s="785"/>
      <c r="AB22" s="785"/>
      <c r="AC22" s="785"/>
      <c r="AD22" s="785"/>
      <c r="AE22" s="785"/>
      <c r="AF22" s="785"/>
      <c r="AG22" s="785"/>
      <c r="AH22" s="785"/>
      <c r="AI22" s="785"/>
      <c r="AJ22" s="785"/>
      <c r="AK22" s="785"/>
      <c r="AL22" s="785"/>
      <c r="AM22" s="785"/>
      <c r="AN22" s="785"/>
      <c r="AO22" s="785"/>
      <c r="AP22" s="785"/>
      <c r="AQ22" s="785"/>
      <c r="AR22" s="785"/>
      <c r="AS22" s="785"/>
      <c r="AT22" s="785"/>
      <c r="AU22" s="785"/>
      <c r="AV22" s="785">
        <f t="shared" si="10"/>
        <v>4500000</v>
      </c>
      <c r="AW22" s="785">
        <f t="shared" si="5"/>
        <v>4500000</v>
      </c>
      <c r="AX22" s="785">
        <f t="shared" si="7"/>
        <v>0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>
      <c r="A23" s="174" t="str">
        <f>'A Financial'!A64</f>
        <v>Retail brokerage</v>
      </c>
      <c r="B23" s="783">
        <f>'A Financial'!C64</f>
        <v>1314000</v>
      </c>
      <c r="C23" s="788"/>
      <c r="D23" s="784"/>
      <c r="E23" s="784"/>
      <c r="F23" s="784"/>
      <c r="G23" s="784"/>
      <c r="H23" s="784"/>
      <c r="I23" s="784"/>
      <c r="J23" s="784"/>
      <c r="K23" s="784"/>
      <c r="L23" s="784"/>
      <c r="M23" s="784"/>
      <c r="N23" s="784"/>
      <c r="O23" s="784"/>
      <c r="P23" s="784"/>
      <c r="Q23" s="784"/>
      <c r="R23" s="784"/>
      <c r="S23" s="784"/>
      <c r="T23" s="784"/>
      <c r="U23" s="784">
        <f>$B23</f>
        <v>1314000</v>
      </c>
      <c r="V23" s="784"/>
      <c r="W23" s="785"/>
      <c r="X23" s="785"/>
      <c r="Y23" s="785"/>
      <c r="Z23" s="785"/>
      <c r="AA23" s="785"/>
      <c r="AB23" s="785"/>
      <c r="AC23" s="785"/>
      <c r="AD23" s="785"/>
      <c r="AE23" s="785"/>
      <c r="AF23" s="785"/>
      <c r="AG23" s="785"/>
      <c r="AH23" s="785"/>
      <c r="AI23" s="785"/>
      <c r="AJ23" s="785"/>
      <c r="AK23" s="785"/>
      <c r="AL23" s="785"/>
      <c r="AM23" s="785"/>
      <c r="AN23" s="785"/>
      <c r="AO23" s="785"/>
      <c r="AP23" s="785"/>
      <c r="AQ23" s="785"/>
      <c r="AR23" s="785"/>
      <c r="AS23" s="785"/>
      <c r="AT23" s="785"/>
      <c r="AU23" s="785"/>
      <c r="AV23" s="785">
        <f t="shared" si="10"/>
        <v>1314000</v>
      </c>
      <c r="AW23" s="785">
        <f t="shared" si="5"/>
        <v>1314000</v>
      </c>
      <c r="AX23" s="785">
        <f t="shared" si="7"/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>
      <c r="A24" s="174" t="str">
        <f>'A Financial'!A65</f>
        <v>Construction Loan Origination</v>
      </c>
      <c r="B24" s="783">
        <f>'A Financial'!C65</f>
        <v>489685.82170802035</v>
      </c>
      <c r="C24" s="784">
        <f>$B$24*C4</f>
        <v>0</v>
      </c>
      <c r="D24" s="784">
        <f>$B$24*D4</f>
        <v>0</v>
      </c>
      <c r="E24" s="784">
        <v>0</v>
      </c>
      <c r="F24" s="784">
        <v>0</v>
      </c>
      <c r="G24" s="784">
        <v>0</v>
      </c>
      <c r="H24" s="784">
        <v>0</v>
      </c>
      <c r="I24" s="784">
        <f>$B24</f>
        <v>489685.82170802035</v>
      </c>
      <c r="J24" s="784">
        <v>0</v>
      </c>
      <c r="K24" s="784"/>
      <c r="L24" s="784">
        <v>0</v>
      </c>
      <c r="M24" s="250"/>
      <c r="N24" s="784">
        <v>0</v>
      </c>
      <c r="O24" s="784">
        <v>0</v>
      </c>
      <c r="P24" s="250"/>
      <c r="Q24" s="784"/>
      <c r="R24" s="784"/>
      <c r="S24" s="784"/>
      <c r="T24" s="784"/>
      <c r="U24" s="784"/>
      <c r="V24" s="784"/>
      <c r="W24" s="785"/>
      <c r="X24" s="785"/>
      <c r="Y24" s="785"/>
      <c r="Z24" s="785"/>
      <c r="AA24" s="785"/>
      <c r="AB24" s="785"/>
      <c r="AC24" s="785"/>
      <c r="AD24" s="785"/>
      <c r="AE24" s="785"/>
      <c r="AF24" s="785"/>
      <c r="AG24" s="785"/>
      <c r="AH24" s="785"/>
      <c r="AI24" s="785"/>
      <c r="AJ24" s="785"/>
      <c r="AK24" s="785"/>
      <c r="AL24" s="785"/>
      <c r="AM24" s="785"/>
      <c r="AN24" s="785"/>
      <c r="AO24" s="785"/>
      <c r="AP24" s="785"/>
      <c r="AS24" s="785"/>
      <c r="AT24" s="785"/>
      <c r="AU24" s="785"/>
      <c r="AV24" s="785">
        <f t="shared" si="10"/>
        <v>489685.82170802035</v>
      </c>
      <c r="AW24" s="785">
        <f t="shared" si="5"/>
        <v>489685.82170802035</v>
      </c>
      <c r="AX24" s="785">
        <f t="shared" si="7"/>
        <v>0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>
      <c r="A25" s="174" t="str">
        <f>'A Financial'!A66</f>
        <v>Construction Interest</v>
      </c>
      <c r="B25" s="783">
        <f>'A Financial'!C66</f>
        <v>2285200.5013040951</v>
      </c>
      <c r="C25" s="796"/>
      <c r="D25" s="784"/>
      <c r="E25" s="784"/>
      <c r="F25" s="784"/>
      <c r="G25" s="784"/>
      <c r="H25" s="784"/>
      <c r="I25" s="784"/>
      <c r="J25" s="784"/>
      <c r="K25" s="784"/>
      <c r="L25" s="784"/>
      <c r="M25" s="784"/>
      <c r="N25" s="784"/>
      <c r="O25" s="784"/>
      <c r="P25" s="784">
        <f t="shared" ref="P25:T25" si="20">$B25/6</f>
        <v>380866.75021734921</v>
      </c>
      <c r="Q25" s="784">
        <f t="shared" si="20"/>
        <v>380866.75021734921</v>
      </c>
      <c r="R25" s="784">
        <f t="shared" si="20"/>
        <v>380866.75021734921</v>
      </c>
      <c r="S25" s="784">
        <f t="shared" si="20"/>
        <v>380866.75021734921</v>
      </c>
      <c r="T25" s="784">
        <f t="shared" si="20"/>
        <v>380866.75021734921</v>
      </c>
      <c r="U25" s="784">
        <f>$B25/6</f>
        <v>380866.75021734921</v>
      </c>
      <c r="V25" s="784"/>
      <c r="W25" s="785"/>
      <c r="X25" s="785"/>
      <c r="Y25" s="785"/>
      <c r="Z25" s="785"/>
      <c r="AA25" s="785"/>
      <c r="AB25" s="785"/>
      <c r="AC25" s="785"/>
      <c r="AD25" s="785"/>
      <c r="AE25" s="785"/>
      <c r="AF25" s="785"/>
      <c r="AG25" s="785"/>
      <c r="AH25" s="785"/>
      <c r="AI25" s="785"/>
      <c r="AJ25" s="785"/>
      <c r="AK25" s="785"/>
      <c r="AL25" s="785"/>
      <c r="AM25" s="785"/>
      <c r="AN25" s="785"/>
      <c r="AO25" s="785"/>
      <c r="AP25" s="785"/>
      <c r="AQ25" s="785"/>
      <c r="AR25" s="785"/>
      <c r="AS25" s="785"/>
      <c r="AT25" s="785"/>
      <c r="AU25" s="785"/>
      <c r="AV25" s="785">
        <f t="shared" si="10"/>
        <v>2285200.5013040951</v>
      </c>
      <c r="AW25" s="785">
        <f t="shared" si="5"/>
        <v>2285200.5013040951</v>
      </c>
      <c r="AX25" s="785">
        <f t="shared" si="7"/>
        <v>0</v>
      </c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ht="15" thickBot="1">
      <c r="A26" s="174" t="str">
        <f>'A Financial'!A67</f>
        <v>Additional Contingency</v>
      </c>
      <c r="B26" s="797">
        <f>'A Financial'!C67</f>
        <v>1139532.0903874568</v>
      </c>
      <c r="C26" s="798">
        <v>0</v>
      </c>
      <c r="D26" s="798">
        <v>0</v>
      </c>
      <c r="E26" s="798">
        <v>0</v>
      </c>
      <c r="F26" s="798"/>
      <c r="G26" s="798">
        <v>0</v>
      </c>
      <c r="H26" s="798">
        <v>0</v>
      </c>
      <c r="I26" s="798">
        <f t="shared" ref="I26:S26" si="21">$B26/12</f>
        <v>94961.007532288073</v>
      </c>
      <c r="J26" s="798">
        <f t="shared" si="21"/>
        <v>94961.007532288073</v>
      </c>
      <c r="K26" s="798">
        <f t="shared" si="21"/>
        <v>94961.007532288073</v>
      </c>
      <c r="L26" s="798">
        <f t="shared" si="21"/>
        <v>94961.007532288073</v>
      </c>
      <c r="M26" s="798">
        <f t="shared" si="21"/>
        <v>94961.007532288073</v>
      </c>
      <c r="N26" s="798">
        <f t="shared" si="21"/>
        <v>94961.007532288073</v>
      </c>
      <c r="O26" s="798">
        <f t="shared" si="21"/>
        <v>94961.007532288073</v>
      </c>
      <c r="P26" s="798">
        <f t="shared" si="21"/>
        <v>94961.007532288073</v>
      </c>
      <c r="Q26" s="798">
        <f t="shared" si="21"/>
        <v>94961.007532288073</v>
      </c>
      <c r="R26" s="798">
        <f t="shared" si="21"/>
        <v>94961.007532288073</v>
      </c>
      <c r="S26" s="798">
        <f t="shared" si="21"/>
        <v>94961.007532288073</v>
      </c>
      <c r="T26" s="798">
        <f>$B26/12</f>
        <v>94961.007532288073</v>
      </c>
      <c r="U26" s="798"/>
      <c r="V26" s="798"/>
      <c r="W26" s="799"/>
      <c r="X26" s="799"/>
      <c r="Y26" s="799"/>
      <c r="Z26" s="799"/>
      <c r="AA26" s="799"/>
      <c r="AB26" s="799"/>
      <c r="AC26" s="799"/>
      <c r="AD26" s="799"/>
      <c r="AE26" s="799"/>
      <c r="AF26" s="799"/>
      <c r="AG26" s="799"/>
      <c r="AH26" s="799"/>
      <c r="AI26" s="799"/>
      <c r="AJ26" s="799"/>
      <c r="AK26" s="799"/>
      <c r="AL26" s="799"/>
      <c r="AM26" s="799"/>
      <c r="AN26" s="799"/>
      <c r="AO26" s="799"/>
      <c r="AP26" s="799"/>
      <c r="AQ26" s="799"/>
      <c r="AR26" s="799"/>
      <c r="AS26" s="799"/>
      <c r="AT26" s="799"/>
      <c r="AU26" s="799"/>
      <c r="AV26" s="799">
        <f t="shared" si="10"/>
        <v>1139532.0903874568</v>
      </c>
      <c r="AW26" s="799">
        <f t="shared" si="5"/>
        <v>1139532.0903874568</v>
      </c>
      <c r="AX26" s="785">
        <f t="shared" si="7"/>
        <v>0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5.6" thickTop="1" thickBot="1">
      <c r="A27" s="174" t="str">
        <f>'A Financial'!A68</f>
        <v>Total Project Cost</v>
      </c>
      <c r="B27" s="167">
        <f>SUM(B5:B26)</f>
        <v>46720815.705885731</v>
      </c>
      <c r="C27" s="172">
        <f t="shared" ref="C27:U27" si="22">SUM(C5:C26)</f>
        <v>0</v>
      </c>
      <c r="D27" s="172">
        <f t="shared" si="22"/>
        <v>0</v>
      </c>
      <c r="E27" s="172">
        <f t="shared" si="22"/>
        <v>398931.5944</v>
      </c>
      <c r="F27" s="172">
        <f t="shared" si="22"/>
        <v>331120</v>
      </c>
      <c r="G27" s="172">
        <f t="shared" si="22"/>
        <v>127040</v>
      </c>
      <c r="H27" s="172">
        <f t="shared" si="22"/>
        <v>322692.25538461539</v>
      </c>
      <c r="I27" s="172">
        <f t="shared" si="22"/>
        <v>3633604.6170603083</v>
      </c>
      <c r="J27" s="172">
        <f t="shared" si="22"/>
        <v>1940620.5709830574</v>
      </c>
      <c r="K27" s="172">
        <f t="shared" si="22"/>
        <v>1743586.5017522881</v>
      </c>
      <c r="L27" s="172">
        <f t="shared" si="22"/>
        <v>2530298.59405998</v>
      </c>
      <c r="M27" s="172">
        <f t="shared" si="22"/>
        <v>3854971.637752288</v>
      </c>
      <c r="N27" s="172">
        <f t="shared" si="22"/>
        <v>4129039.7762138266</v>
      </c>
      <c r="O27" s="172">
        <f t="shared" si="22"/>
        <v>3847267.637752288</v>
      </c>
      <c r="P27" s="172">
        <f t="shared" si="22"/>
        <v>4410846.4802773297</v>
      </c>
      <c r="Q27" s="172">
        <f t="shared" si="22"/>
        <v>3021628.5959696369</v>
      </c>
      <c r="R27" s="172">
        <f t="shared" si="22"/>
        <v>3076628.5959696369</v>
      </c>
      <c r="S27" s="172">
        <f t="shared" si="22"/>
        <v>5426628.5959696379</v>
      </c>
      <c r="T27" s="172">
        <f t="shared" si="22"/>
        <v>5574043.5021234835</v>
      </c>
      <c r="U27" s="172">
        <f t="shared" si="22"/>
        <v>2150685.7318441868</v>
      </c>
      <c r="V27" s="172">
        <f>SUM(V5:V26)</f>
        <v>262723.98162683763</v>
      </c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69">
        <f>SUM(AV5:AV26)</f>
        <v>46782358.669139408</v>
      </c>
      <c r="AW27" s="168">
        <f>SUM(AW5:AW26)</f>
        <v>46720815.705885731</v>
      </c>
      <c r="AX27" s="168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</row>
    <row r="28" spans="1:74" ht="15" thickTop="1">
      <c r="A28" s="170" t="s">
        <v>360</v>
      </c>
      <c r="B28" s="171">
        <f>'A Financial'!B76</f>
        <v>0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69"/>
      <c r="AW28" s="168"/>
      <c r="AX28" s="16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</row>
    <row r="29" spans="1:74" ht="15" thickBot="1">
      <c r="A29" s="800" t="s">
        <v>361</v>
      </c>
      <c r="B29" s="801">
        <f>B27+B28</f>
        <v>46720815.705885731</v>
      </c>
      <c r="C29" s="793"/>
      <c r="D29" s="793"/>
      <c r="E29" s="793"/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3"/>
      <c r="X29" s="793"/>
      <c r="Y29" s="793"/>
      <c r="Z29" s="793"/>
      <c r="AA29" s="793"/>
      <c r="AB29" s="793"/>
      <c r="AC29" s="793"/>
      <c r="AD29" s="793"/>
      <c r="AE29" s="793"/>
      <c r="AF29" s="793"/>
      <c r="AG29" s="793"/>
      <c r="AH29" s="793"/>
      <c r="AI29" s="793"/>
      <c r="AJ29" s="793"/>
      <c r="AK29" s="793"/>
      <c r="AL29" s="793"/>
      <c r="AM29" s="793"/>
      <c r="AN29" s="793"/>
      <c r="AO29" s="793"/>
      <c r="AP29" s="793"/>
      <c r="AQ29" s="793"/>
      <c r="AR29" s="793"/>
      <c r="AS29" s="793"/>
      <c r="AT29" s="793"/>
      <c r="AU29" s="544"/>
      <c r="AV29" s="802"/>
      <c r="AW29" s="802"/>
      <c r="AX29" s="802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</row>
    <row r="30" spans="1:74">
      <c r="A30" s="803" t="s">
        <v>362</v>
      </c>
      <c r="B30" s="804">
        <f>SUM(C30:AU30)</f>
        <v>14016244.711765721</v>
      </c>
      <c r="C30" s="785">
        <f>C27</f>
        <v>0</v>
      </c>
      <c r="D30" s="785">
        <f t="shared" ref="D30:U30" si="23">IF(C31+D27&lt;=$B$31,D27,($B$31-C31))</f>
        <v>0</v>
      </c>
      <c r="E30" s="785">
        <f t="shared" si="23"/>
        <v>398931.5944</v>
      </c>
      <c r="F30" s="785">
        <f t="shared" si="23"/>
        <v>331120</v>
      </c>
      <c r="G30" s="785">
        <f t="shared" si="23"/>
        <v>127040</v>
      </c>
      <c r="H30" s="785">
        <f t="shared" si="23"/>
        <v>322692.25538461539</v>
      </c>
      <c r="I30" s="785">
        <f t="shared" si="23"/>
        <v>3633604.6170603083</v>
      </c>
      <c r="J30" s="785">
        <f t="shared" si="23"/>
        <v>1940620.5709830574</v>
      </c>
      <c r="K30" s="785">
        <f t="shared" si="23"/>
        <v>1743586.5017522881</v>
      </c>
      <c r="L30" s="785">
        <f t="shared" si="23"/>
        <v>2530298.59405998</v>
      </c>
      <c r="M30" s="785">
        <f t="shared" si="23"/>
        <v>2988350.5781254712</v>
      </c>
      <c r="N30" s="785">
        <f t="shared" si="23"/>
        <v>0</v>
      </c>
      <c r="O30" s="785">
        <f t="shared" si="23"/>
        <v>0</v>
      </c>
      <c r="P30" s="785">
        <f t="shared" si="23"/>
        <v>0</v>
      </c>
      <c r="Q30" s="785">
        <f t="shared" si="23"/>
        <v>0</v>
      </c>
      <c r="R30" s="785">
        <f t="shared" si="23"/>
        <v>0</v>
      </c>
      <c r="S30" s="785">
        <f t="shared" si="23"/>
        <v>0</v>
      </c>
      <c r="T30" s="785">
        <f t="shared" si="23"/>
        <v>0</v>
      </c>
      <c r="U30" s="785">
        <f t="shared" si="23"/>
        <v>0</v>
      </c>
      <c r="V30" s="785">
        <f>IF(U31+V27&lt;=$B$31,V27,($B$31-U31))</f>
        <v>0</v>
      </c>
      <c r="W30" s="785"/>
      <c r="X30" s="785"/>
      <c r="Y30" s="785"/>
      <c r="Z30" s="785"/>
      <c r="AA30" s="785"/>
      <c r="AB30" s="785"/>
      <c r="AC30" s="785"/>
      <c r="AD30" s="785"/>
      <c r="AE30" s="785"/>
      <c r="AF30" s="785"/>
      <c r="AG30" s="785"/>
      <c r="AH30" s="785"/>
      <c r="AI30" s="785"/>
      <c r="AJ30" s="785"/>
      <c r="AK30" s="785"/>
      <c r="AL30" s="785"/>
      <c r="AM30" s="785"/>
      <c r="AN30" s="785"/>
      <c r="AO30" s="785"/>
      <c r="AP30" s="785"/>
      <c r="AQ30" s="785"/>
      <c r="AR30" s="785"/>
      <c r="AS30" s="785"/>
      <c r="AT30" s="785"/>
      <c r="AU30" s="785"/>
      <c r="AV30" s="805"/>
      <c r="AW30" s="805"/>
      <c r="AX30" s="805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 ht="15" thickBot="1">
      <c r="A31" s="174" t="s">
        <v>363</v>
      </c>
      <c r="B31" s="806">
        <f>'A Financial'!B79</f>
        <v>14016244.711765721</v>
      </c>
      <c r="C31" s="785">
        <f>C30</f>
        <v>0</v>
      </c>
      <c r="D31" s="785">
        <f>IF(SUM($C$30:D$30)&lt;=$B31,SUM($C$30:D$30),0)</f>
        <v>0</v>
      </c>
      <c r="E31" s="785">
        <f>IF(SUM($C$30:E30)&lt;=$B31,SUM($C$30:E30),0)</f>
        <v>398931.5944</v>
      </c>
      <c r="F31" s="785">
        <f>IF(SUM($C$30:F30)&lt;=$B31,SUM($C$30:F30),0)</f>
        <v>730051.59440000006</v>
      </c>
      <c r="G31" s="785">
        <f>IF(SUM($C$30:G30)&lt;=$B31,SUM($C$30:G30),0)</f>
        <v>857091.59440000006</v>
      </c>
      <c r="H31" s="785">
        <f>IF(SUM($C$30:H30)&lt;=$B31,SUM($C$30:H30),0)</f>
        <v>1179783.8497846154</v>
      </c>
      <c r="I31" s="785">
        <f>IF(SUM($C$30:I30)&lt;=$B31,SUM($C$30:I30),0)</f>
        <v>4813388.4668449238</v>
      </c>
      <c r="J31" s="785">
        <f>IF(SUM($C$30:J30)&lt;=$B31,SUM($C$30:J30),0)</f>
        <v>6754009.0378279816</v>
      </c>
      <c r="K31" s="785">
        <f>IF(SUM($C$30:K30)&lt;=$B31,SUM($C$30:K30),0)</f>
        <v>8497595.5395802706</v>
      </c>
      <c r="L31" s="785">
        <f>IF(SUM($C$30:L30)&lt;=$B31,SUM($C$30:L30),0)</f>
        <v>11027894.13364025</v>
      </c>
      <c r="M31" s="785">
        <f>IF(SUM($C$30:M30)&lt;=$B31,SUM($C$30:M30),0)</f>
        <v>14016244.711765721</v>
      </c>
      <c r="N31" s="785">
        <f>IF(SUM($C$30:N30)&lt;=$B31,SUM($C$30:N30),0)</f>
        <v>14016244.711765721</v>
      </c>
      <c r="O31" s="785">
        <f>IF(SUM($C$30:O30)&lt;=$B31,SUM($C$30:O30),0)</f>
        <v>14016244.711765721</v>
      </c>
      <c r="P31" s="785">
        <f>IF(SUM($C$30:P30)&lt;=$B31,SUM($C$30:P30),0)</f>
        <v>14016244.711765721</v>
      </c>
      <c r="Q31" s="785">
        <f>IF(SUM($C$30:Q30)&lt;=$B31,SUM($C$30:Q30),0)</f>
        <v>14016244.711765721</v>
      </c>
      <c r="R31" s="785">
        <f>IF(SUM($C$30:R30)&lt;=$B31,SUM($C$30:R30),0)</f>
        <v>14016244.711765721</v>
      </c>
      <c r="S31" s="785">
        <f>IF(SUM($C$30:S30)&lt;=$B31,SUM($C$30:S30),0)</f>
        <v>14016244.711765721</v>
      </c>
      <c r="T31" s="785">
        <f>IF(SUM($C$30:T30)&lt;=$B31,SUM($C$30:T30),0)</f>
        <v>14016244.711765721</v>
      </c>
      <c r="U31" s="785">
        <f>IF(SUM($C$30:U30)&lt;=$B31,SUM($C$30:U30),0)</f>
        <v>14016244.711765721</v>
      </c>
      <c r="V31" s="785">
        <f>IF(SUM($C$30:AP30)&lt;=$B31,SUM($C$30:AP30),0)</f>
        <v>14016244.711765721</v>
      </c>
      <c r="W31" s="785"/>
      <c r="X31" s="785"/>
      <c r="Y31" s="785"/>
      <c r="Z31" s="785"/>
      <c r="AA31" s="785"/>
      <c r="AB31" s="785"/>
      <c r="AC31" s="785"/>
      <c r="AD31" s="785"/>
      <c r="AE31" s="785"/>
      <c r="AF31" s="785"/>
      <c r="AG31" s="785"/>
      <c r="AH31" s="785"/>
      <c r="AI31" s="785"/>
      <c r="AJ31" s="785"/>
      <c r="AK31" s="785"/>
      <c r="AL31" s="785"/>
      <c r="AM31" s="785"/>
      <c r="AN31" s="785"/>
      <c r="AO31" s="785"/>
      <c r="AP31" s="785"/>
      <c r="AQ31" s="785"/>
      <c r="AR31" s="785"/>
      <c r="AS31" s="785"/>
      <c r="AT31" s="785"/>
      <c r="AU31" s="785"/>
      <c r="AV31" s="805"/>
      <c r="AW31" s="805"/>
      <c r="AX31" s="805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75" t="s">
        <v>364</v>
      </c>
      <c r="B32" s="176">
        <f>'A Financial'!B78</f>
        <v>32704570.994120009</v>
      </c>
      <c r="C32" s="807"/>
      <c r="D32" s="808"/>
      <c r="E32" s="808"/>
      <c r="F32" s="808"/>
      <c r="G32" s="808"/>
      <c r="H32" s="808"/>
      <c r="I32" s="808"/>
      <c r="J32" s="808"/>
      <c r="K32" s="808"/>
      <c r="L32" s="808"/>
      <c r="M32" s="808"/>
      <c r="N32" s="808"/>
      <c r="O32" s="808"/>
      <c r="P32" s="808"/>
      <c r="Q32" s="808"/>
      <c r="R32" s="808"/>
      <c r="S32" s="808"/>
      <c r="T32" s="808"/>
      <c r="U32" s="808"/>
      <c r="V32" s="808"/>
      <c r="W32" s="808"/>
      <c r="X32" s="808"/>
      <c r="Y32" s="808"/>
      <c r="Z32" s="808"/>
      <c r="AA32" s="808"/>
      <c r="AB32" s="808"/>
      <c r="AC32" s="808"/>
      <c r="AD32" s="808"/>
      <c r="AE32" s="808"/>
      <c r="AF32" s="808"/>
      <c r="AG32" s="808"/>
      <c r="AH32" s="808"/>
      <c r="AI32" s="808"/>
      <c r="AJ32" s="808"/>
      <c r="AK32" s="808"/>
      <c r="AL32" s="808"/>
      <c r="AM32" s="808"/>
      <c r="AN32" s="808"/>
      <c r="AO32" s="808"/>
      <c r="AP32" s="808"/>
      <c r="AQ32" s="808"/>
      <c r="AR32" s="808"/>
      <c r="AS32" s="808"/>
      <c r="AT32" s="808"/>
      <c r="AU32" s="808"/>
      <c r="AV32" s="807"/>
      <c r="AW32" s="807"/>
      <c r="AX32" s="805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 ht="15" thickBot="1">
      <c r="A33" s="809" t="s">
        <v>365</v>
      </c>
      <c r="B33" s="810">
        <f>PMT(0.045,30,(B32))</f>
        <v>-2007784.0734926495</v>
      </c>
      <c r="C33" s="807"/>
      <c r="D33" s="808"/>
      <c r="E33" s="808"/>
      <c r="F33" s="808"/>
      <c r="G33" s="808"/>
      <c r="H33" s="808"/>
      <c r="I33" s="808"/>
      <c r="J33" s="808"/>
      <c r="K33" s="808"/>
      <c r="L33" s="808"/>
      <c r="M33" s="808"/>
      <c r="N33" s="808"/>
      <c r="O33" s="808"/>
      <c r="P33" s="808"/>
      <c r="Q33" s="808"/>
      <c r="R33" s="808"/>
      <c r="S33" s="808"/>
      <c r="T33" s="808"/>
      <c r="U33" s="808"/>
      <c r="V33" s="808"/>
      <c r="W33" s="808"/>
      <c r="X33" s="808"/>
      <c r="Y33" s="808"/>
      <c r="Z33" s="808"/>
      <c r="AA33" s="808"/>
      <c r="AB33" s="808"/>
      <c r="AC33" s="808"/>
      <c r="AD33" s="808"/>
      <c r="AE33" s="808"/>
      <c r="AF33" s="808"/>
      <c r="AG33" s="808"/>
      <c r="AH33" s="808"/>
      <c r="AI33" s="808"/>
      <c r="AJ33" s="808"/>
      <c r="AK33" s="808"/>
      <c r="AL33" s="808"/>
      <c r="AM33" s="808"/>
      <c r="AN33" s="808"/>
      <c r="AO33" s="808"/>
      <c r="AP33" s="808"/>
      <c r="AQ33" s="808"/>
      <c r="AR33" s="808"/>
      <c r="AS33" s="808"/>
      <c r="AT33" s="808"/>
      <c r="AU33" s="808"/>
      <c r="AV33" s="807"/>
      <c r="AW33" s="807"/>
      <c r="AX33" s="805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77" t="s">
        <v>366</v>
      </c>
      <c r="B34" s="178">
        <f>SUM(C34:AV34)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5"/>
      <c r="M34" s="785"/>
      <c r="N34" s="785"/>
      <c r="O34" s="785"/>
      <c r="P34" s="785"/>
      <c r="Q34" s="785"/>
      <c r="R34" s="785"/>
      <c r="S34" s="785"/>
      <c r="T34" s="785"/>
      <c r="U34" s="785"/>
      <c r="V34" s="785"/>
      <c r="W34" s="785"/>
      <c r="X34" s="785"/>
      <c r="Y34" s="785"/>
      <c r="Z34" s="785"/>
      <c r="AA34" s="785"/>
      <c r="AB34" s="785"/>
      <c r="AC34" s="785"/>
      <c r="AD34" s="785"/>
      <c r="AE34" s="785"/>
      <c r="AF34" s="785"/>
      <c r="AG34" s="785"/>
      <c r="AH34" s="785"/>
      <c r="AI34" s="785"/>
      <c r="AJ34" s="785"/>
      <c r="AK34" s="785"/>
      <c r="AL34" s="785"/>
      <c r="AM34" s="785"/>
      <c r="AN34" s="785"/>
      <c r="AO34" s="785"/>
      <c r="AP34" s="785"/>
      <c r="AQ34" s="785"/>
      <c r="AR34" s="785"/>
      <c r="AS34" s="785"/>
      <c r="AT34" s="785"/>
      <c r="AU34" s="785"/>
      <c r="AV34" s="544"/>
      <c r="AW34" s="808"/>
      <c r="AX34" s="805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811" t="s">
        <v>367</v>
      </c>
      <c r="B35" s="812"/>
      <c r="C35" s="808"/>
      <c r="D35" s="808"/>
      <c r="E35" s="808"/>
      <c r="F35" s="808"/>
      <c r="G35" s="808"/>
      <c r="H35" s="808"/>
      <c r="I35" s="808"/>
      <c r="J35" s="808"/>
      <c r="K35" s="808"/>
      <c r="L35" s="808"/>
      <c r="M35" s="808"/>
      <c r="N35" s="808"/>
      <c r="O35" s="808"/>
      <c r="P35" s="808"/>
      <c r="Q35" s="808"/>
      <c r="R35" s="808"/>
      <c r="S35" s="808"/>
      <c r="T35" s="808"/>
      <c r="U35" s="808"/>
      <c r="V35" s="808"/>
      <c r="W35" s="808"/>
      <c r="X35" s="808"/>
      <c r="Y35" s="808"/>
      <c r="Z35" s="808"/>
      <c r="AA35" s="808"/>
      <c r="AB35" s="808"/>
      <c r="AC35" s="808"/>
      <c r="AD35" s="808"/>
      <c r="AE35" s="808"/>
      <c r="AF35" s="808"/>
      <c r="AG35" s="808"/>
      <c r="AH35" s="808"/>
      <c r="AI35" s="808"/>
      <c r="AJ35" s="808"/>
      <c r="AK35" s="808"/>
      <c r="AL35" s="808"/>
      <c r="AM35" s="808"/>
      <c r="AN35" s="808"/>
      <c r="AO35" s="808"/>
      <c r="AP35" s="808"/>
      <c r="AQ35" s="808"/>
      <c r="AR35" s="808"/>
      <c r="AS35" s="808"/>
      <c r="AT35" s="808"/>
      <c r="AU35" s="808"/>
      <c r="AV35" s="813"/>
      <c r="AW35" s="808"/>
      <c r="AX35" s="80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803" t="s">
        <v>368</v>
      </c>
      <c r="B36" s="804">
        <f>'A Financial'!B86-'A Financial'!B78</f>
        <v>25056025.928956911</v>
      </c>
      <c r="C36" s="813"/>
      <c r="D36" s="814"/>
      <c r="E36" s="814"/>
      <c r="F36" s="814"/>
      <c r="G36" s="814"/>
      <c r="H36" s="814"/>
      <c r="I36" s="814"/>
      <c r="J36" s="814"/>
      <c r="K36" s="814"/>
      <c r="L36" s="814"/>
      <c r="M36" s="814"/>
      <c r="N36" s="814"/>
      <c r="O36" s="814"/>
      <c r="P36" s="814"/>
      <c r="Q36" s="814"/>
      <c r="R36" s="814"/>
      <c r="S36" s="814"/>
      <c r="T36" s="814"/>
      <c r="U36" s="814"/>
      <c r="V36" s="814"/>
      <c r="W36" s="814"/>
      <c r="X36" s="814"/>
      <c r="Y36" s="814"/>
      <c r="Z36" s="814"/>
      <c r="AA36" s="814"/>
      <c r="AB36" s="814"/>
      <c r="AC36" s="814"/>
      <c r="AD36" s="814"/>
      <c r="AE36" s="814"/>
      <c r="AF36" s="814"/>
      <c r="AG36" s="814"/>
      <c r="AH36" s="814"/>
      <c r="AI36" s="814"/>
      <c r="AJ36" s="814"/>
      <c r="AK36" s="814"/>
      <c r="AL36" s="814"/>
      <c r="AM36" s="814"/>
      <c r="AN36" s="814"/>
      <c r="AO36" s="814"/>
      <c r="AP36" s="814"/>
      <c r="AQ36" s="814"/>
      <c r="AR36" s="814"/>
      <c r="AS36" s="814"/>
      <c r="AT36" s="814"/>
      <c r="AU36" s="814"/>
      <c r="AV36" s="815"/>
      <c r="AW36" s="816"/>
      <c r="AX36" s="817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803" t="s">
        <v>369</v>
      </c>
      <c r="B37" s="818">
        <f>SUM(C37:AU37)</f>
        <v>11039781.21719119</v>
      </c>
      <c r="C37" s="819">
        <f t="shared" ref="C37:U37" si="24">-C30</f>
        <v>0</v>
      </c>
      <c r="D37" s="819">
        <f t="shared" si="24"/>
        <v>0</v>
      </c>
      <c r="E37" s="819">
        <f t="shared" si="24"/>
        <v>-398931.5944</v>
      </c>
      <c r="F37" s="819">
        <f t="shared" si="24"/>
        <v>-331120</v>
      </c>
      <c r="G37" s="819">
        <f t="shared" si="24"/>
        <v>-127040</v>
      </c>
      <c r="H37" s="819">
        <f t="shared" si="24"/>
        <v>-322692.25538461539</v>
      </c>
      <c r="I37" s="819">
        <f t="shared" si="24"/>
        <v>-3633604.6170603083</v>
      </c>
      <c r="J37" s="819">
        <f t="shared" si="24"/>
        <v>-1940620.5709830574</v>
      </c>
      <c r="K37" s="819">
        <f t="shared" si="24"/>
        <v>-1743586.5017522881</v>
      </c>
      <c r="L37" s="819">
        <f t="shared" si="24"/>
        <v>-2530298.59405998</v>
      </c>
      <c r="M37" s="819">
        <f t="shared" si="24"/>
        <v>-2988350.5781254712</v>
      </c>
      <c r="N37" s="819">
        <f t="shared" si="24"/>
        <v>0</v>
      </c>
      <c r="O37" s="819">
        <f t="shared" si="24"/>
        <v>0</v>
      </c>
      <c r="P37" s="819">
        <f t="shared" si="24"/>
        <v>0</v>
      </c>
      <c r="Q37" s="819">
        <f t="shared" si="24"/>
        <v>0</v>
      </c>
      <c r="R37" s="819">
        <f t="shared" si="24"/>
        <v>0</v>
      </c>
      <c r="S37" s="819">
        <f t="shared" si="24"/>
        <v>0</v>
      </c>
      <c r="T37" s="819">
        <f t="shared" si="24"/>
        <v>0</v>
      </c>
      <c r="U37" s="819">
        <f t="shared" si="24"/>
        <v>0</v>
      </c>
      <c r="V37" s="820">
        <f>B36</f>
        <v>25056025.928956911</v>
      </c>
      <c r="W37" s="819"/>
      <c r="X37" s="819"/>
      <c r="Y37" s="819"/>
      <c r="Z37" s="819"/>
      <c r="AA37" s="819"/>
      <c r="AB37" s="819"/>
      <c r="AC37" s="819"/>
      <c r="AD37" s="819"/>
      <c r="AE37" s="819"/>
      <c r="AF37" s="819"/>
      <c r="AG37" s="819"/>
      <c r="AH37" s="819"/>
      <c r="AI37" s="819"/>
      <c r="AJ37" s="819"/>
      <c r="AK37" s="819"/>
      <c r="AL37" s="819"/>
      <c r="AM37" s="819"/>
      <c r="AN37" s="819"/>
      <c r="AO37" s="819"/>
      <c r="AP37" s="819"/>
      <c r="AQ37" s="819"/>
      <c r="AR37" s="819"/>
      <c r="AS37" s="819"/>
      <c r="AT37" s="819"/>
      <c r="AU37" s="819"/>
      <c r="AV37" s="821"/>
      <c r="AW37" s="785"/>
      <c r="AX37" s="785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803" t="s">
        <v>370</v>
      </c>
      <c r="B38" s="822">
        <f>IF(B37&lt;0,0,IRR(C37:AJU37))</f>
        <v>5.1596283050789671E-2</v>
      </c>
      <c r="C38" s="823"/>
      <c r="D38" s="823"/>
      <c r="E38" s="823"/>
      <c r="F38" s="823"/>
      <c r="G38" s="823"/>
      <c r="H38" s="823"/>
      <c r="I38" s="823"/>
      <c r="J38" s="823"/>
      <c r="K38" s="823"/>
      <c r="L38" s="823"/>
      <c r="M38" s="823"/>
      <c r="N38" s="823"/>
      <c r="O38" s="823"/>
      <c r="P38" s="823"/>
      <c r="Q38" s="823"/>
      <c r="R38" s="823"/>
      <c r="S38" s="823"/>
      <c r="T38" s="823"/>
      <c r="U38" s="823"/>
      <c r="V38" s="823"/>
      <c r="W38" s="823"/>
      <c r="X38" s="823"/>
      <c r="Y38" s="823"/>
      <c r="Z38" s="823"/>
      <c r="AA38" s="823"/>
      <c r="AB38" s="823"/>
      <c r="AC38" s="823"/>
      <c r="AD38" s="823"/>
      <c r="AE38" s="823"/>
      <c r="AF38" s="823"/>
      <c r="AG38" s="823"/>
      <c r="AH38" s="823"/>
      <c r="AI38" s="823"/>
      <c r="AJ38" s="823"/>
      <c r="AK38" s="823"/>
      <c r="AL38" s="823"/>
      <c r="AM38" s="823"/>
      <c r="AN38" s="823"/>
      <c r="AO38" s="823"/>
      <c r="AP38" s="823"/>
      <c r="AQ38" s="823"/>
      <c r="AR38" s="823"/>
      <c r="AS38" s="823"/>
      <c r="AT38" s="823"/>
      <c r="AU38" s="823"/>
      <c r="AV38" s="815"/>
      <c r="AW38" s="823"/>
      <c r="AX38" s="824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793" t="s">
        <v>371</v>
      </c>
      <c r="B39" s="825">
        <f>POWER((1+B38),4)-1</f>
        <v>0.22291471156776899</v>
      </c>
      <c r="C39" s="815"/>
      <c r="D39" s="815"/>
      <c r="E39" s="826"/>
      <c r="F39" s="826"/>
      <c r="G39" s="826"/>
      <c r="H39" s="826"/>
      <c r="I39" s="826"/>
      <c r="J39" s="826"/>
      <c r="K39" s="826"/>
      <c r="L39" s="826"/>
      <c r="M39" s="826"/>
      <c r="N39" s="826"/>
      <c r="O39" s="826"/>
      <c r="P39" s="827"/>
      <c r="Q39" s="826"/>
      <c r="R39" s="826"/>
      <c r="S39" s="826"/>
      <c r="T39" s="826"/>
      <c r="U39" s="826"/>
      <c r="V39" s="827"/>
      <c r="W39" s="826"/>
      <c r="X39" s="826"/>
      <c r="Y39" s="826"/>
      <c r="Z39" s="826"/>
      <c r="AA39" s="826"/>
      <c r="AB39" s="826"/>
      <c r="AC39" s="826"/>
      <c r="AD39" s="826"/>
      <c r="AE39" s="826"/>
      <c r="AF39" s="826"/>
      <c r="AG39" s="826"/>
      <c r="AH39" s="826"/>
      <c r="AI39" s="826"/>
      <c r="AJ39" s="826"/>
      <c r="AK39" s="826"/>
      <c r="AL39" s="826"/>
      <c r="AM39" s="826"/>
      <c r="AN39" s="826"/>
      <c r="AO39" s="826"/>
      <c r="AP39" s="826"/>
      <c r="AQ39" s="826"/>
      <c r="AR39" s="826"/>
      <c r="AS39" s="826"/>
      <c r="AT39" s="826"/>
      <c r="AU39" s="826"/>
      <c r="AV39" s="826"/>
      <c r="AW39" s="826"/>
      <c r="AX39" s="828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</row>
    <row r="40" spans="1:74">
      <c r="A40" s="468" t="s">
        <v>372</v>
      </c>
      <c r="B40" s="469"/>
      <c r="C40" s="815"/>
      <c r="D40" s="815"/>
      <c r="E40" s="826"/>
      <c r="F40" s="826"/>
      <c r="G40" s="826"/>
      <c r="H40" s="826"/>
      <c r="I40" s="826"/>
      <c r="J40" s="826"/>
      <c r="K40" s="826"/>
      <c r="L40" s="826"/>
      <c r="M40" s="826"/>
      <c r="N40" s="826"/>
      <c r="O40" s="826"/>
      <c r="P40" s="827"/>
      <c r="Q40" s="826"/>
      <c r="R40" s="826"/>
      <c r="S40" s="826"/>
      <c r="T40" s="826"/>
      <c r="U40" s="826"/>
      <c r="V40" s="827"/>
      <c r="W40" s="826"/>
      <c r="X40" s="826"/>
      <c r="Y40" s="826"/>
      <c r="Z40" s="826"/>
      <c r="AA40" s="826"/>
      <c r="AB40" s="826"/>
      <c r="AC40" s="826"/>
      <c r="AD40" s="826"/>
      <c r="AE40" s="826"/>
      <c r="AF40" s="826"/>
      <c r="AG40" s="826"/>
      <c r="AH40" s="826"/>
      <c r="AI40" s="826"/>
      <c r="AJ40" s="826"/>
      <c r="AK40" s="826"/>
      <c r="AL40" s="826"/>
      <c r="AM40" s="826"/>
      <c r="AN40" s="826"/>
      <c r="AO40" s="826"/>
      <c r="AP40" s="826"/>
      <c r="AQ40" s="826"/>
      <c r="AR40" s="826"/>
      <c r="AS40" s="826"/>
      <c r="AT40" s="826"/>
      <c r="AU40" s="826"/>
      <c r="AV40" s="826"/>
      <c r="AW40" s="826"/>
      <c r="AX40" s="828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</row>
    <row r="41" spans="1:74">
      <c r="A41" s="803" t="s">
        <v>373</v>
      </c>
      <c r="B41" s="68">
        <f>'A Financial'!B86-B28</f>
        <v>57760596.92307692</v>
      </c>
      <c r="C41" s="815"/>
      <c r="D41" s="815"/>
      <c r="E41" s="826"/>
      <c r="F41" s="826"/>
      <c r="G41" s="826"/>
      <c r="H41" s="826"/>
      <c r="I41" s="826"/>
      <c r="J41" s="826"/>
      <c r="K41" s="826"/>
      <c r="L41" s="826"/>
      <c r="M41" s="826"/>
      <c r="N41" s="826"/>
      <c r="O41" s="826"/>
      <c r="P41" s="827"/>
      <c r="Q41" s="826"/>
      <c r="R41" s="826"/>
      <c r="S41" s="826"/>
      <c r="T41" s="826"/>
      <c r="U41" s="826"/>
      <c r="V41" s="827"/>
      <c r="W41" s="826"/>
      <c r="X41" s="826"/>
      <c r="Y41" s="826"/>
      <c r="Z41" s="826"/>
      <c r="AA41" s="826"/>
      <c r="AB41" s="826"/>
      <c r="AC41" s="826"/>
      <c r="AD41" s="826"/>
      <c r="AE41" s="826"/>
      <c r="AF41" s="826"/>
      <c r="AG41" s="826"/>
      <c r="AH41" s="826"/>
      <c r="AI41" s="826"/>
      <c r="AJ41" s="826"/>
      <c r="AK41" s="826"/>
      <c r="AL41" s="826"/>
      <c r="AM41" s="826"/>
      <c r="AN41" s="826"/>
      <c r="AO41" s="826"/>
      <c r="AP41" s="826"/>
      <c r="AQ41" s="826"/>
      <c r="AR41" s="826"/>
      <c r="AS41" s="826"/>
      <c r="AT41" s="826"/>
      <c r="AU41" s="826"/>
      <c r="AV41" s="826"/>
      <c r="AW41" s="826"/>
      <c r="AX41" s="828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</row>
    <row r="42" spans="1:74">
      <c r="A42" s="803" t="s">
        <v>374</v>
      </c>
      <c r="B42" s="818">
        <f>SUM(C42:AU42)</f>
        <v>10978238.25393752</v>
      </c>
      <c r="C42" s="785">
        <f>-C27</f>
        <v>0</v>
      </c>
      <c r="D42" s="785">
        <f>-D27</f>
        <v>0</v>
      </c>
      <c r="E42" s="785">
        <f>-E27</f>
        <v>-398931.5944</v>
      </c>
      <c r="F42" s="785">
        <f t="shared" ref="F42:U42" si="25">-F27</f>
        <v>-331120</v>
      </c>
      <c r="G42" s="785">
        <f t="shared" si="25"/>
        <v>-127040</v>
      </c>
      <c r="H42" s="785">
        <f t="shared" si="25"/>
        <v>-322692.25538461539</v>
      </c>
      <c r="I42" s="785">
        <f t="shared" si="25"/>
        <v>-3633604.6170603083</v>
      </c>
      <c r="J42" s="785">
        <f t="shared" si="25"/>
        <v>-1940620.5709830574</v>
      </c>
      <c r="K42" s="785">
        <f t="shared" si="25"/>
        <v>-1743586.5017522881</v>
      </c>
      <c r="L42" s="785">
        <f t="shared" si="25"/>
        <v>-2530298.59405998</v>
      </c>
      <c r="M42" s="785">
        <f t="shared" si="25"/>
        <v>-3854971.637752288</v>
      </c>
      <c r="N42" s="785">
        <f t="shared" si="25"/>
        <v>-4129039.7762138266</v>
      </c>
      <c r="O42" s="785">
        <f t="shared" si="25"/>
        <v>-3847267.637752288</v>
      </c>
      <c r="P42" s="785">
        <f t="shared" si="25"/>
        <v>-4410846.4802773297</v>
      </c>
      <c r="Q42" s="785">
        <f t="shared" si="25"/>
        <v>-3021628.5959696369</v>
      </c>
      <c r="R42" s="785">
        <f t="shared" si="25"/>
        <v>-3076628.5959696369</v>
      </c>
      <c r="S42" s="785">
        <f t="shared" si="25"/>
        <v>-5426628.5959696379</v>
      </c>
      <c r="T42" s="785">
        <f t="shared" si="25"/>
        <v>-5574043.5021234835</v>
      </c>
      <c r="U42" s="785">
        <f t="shared" si="25"/>
        <v>-2150685.7318441868</v>
      </c>
      <c r="V42" s="824">
        <f>-V27+B41</f>
        <v>57497872.941450082</v>
      </c>
      <c r="W42" s="785"/>
      <c r="X42" s="785"/>
      <c r="Y42" s="785"/>
      <c r="Z42" s="785"/>
      <c r="AA42" s="785"/>
      <c r="AB42" s="785"/>
      <c r="AC42" s="785"/>
      <c r="AD42" s="785"/>
      <c r="AE42" s="785"/>
      <c r="AF42" s="785"/>
      <c r="AG42" s="785"/>
      <c r="AH42" s="785"/>
      <c r="AI42" s="785"/>
      <c r="AJ42" s="785"/>
      <c r="AK42" s="785"/>
      <c r="AL42" s="785"/>
      <c r="AM42" s="785"/>
      <c r="AN42" s="785"/>
      <c r="AO42" s="785"/>
      <c r="AP42" s="785"/>
      <c r="AQ42" s="785"/>
      <c r="AR42" s="785"/>
      <c r="AS42" s="785"/>
      <c r="AT42" s="785"/>
      <c r="AU42" s="785"/>
      <c r="AV42" s="824"/>
      <c r="AW42" s="793"/>
      <c r="AX42" s="793"/>
    </row>
    <row r="43" spans="1:74">
      <c r="A43" s="803" t="s">
        <v>375</v>
      </c>
      <c r="B43" s="822">
        <f>IF(B42&lt;0,0,IRR(C42:AU42))</f>
        <v>3.1059419999041715E-2</v>
      </c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08"/>
      <c r="N43" s="815"/>
      <c r="O43" s="815"/>
      <c r="P43" s="815"/>
      <c r="Q43" s="815"/>
      <c r="R43" s="815"/>
      <c r="S43" s="808"/>
      <c r="T43" s="815"/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815"/>
      <c r="AH43" s="815"/>
      <c r="AI43" s="815"/>
      <c r="AJ43" s="815"/>
      <c r="AK43" s="815"/>
      <c r="AL43" s="815"/>
      <c r="AM43" s="815"/>
      <c r="AN43" s="815"/>
      <c r="AO43" s="815"/>
      <c r="AP43" s="815"/>
      <c r="AQ43" s="815"/>
      <c r="AR43" s="815"/>
      <c r="AS43" s="815"/>
      <c r="AT43" s="815"/>
      <c r="AU43" s="815"/>
      <c r="AV43" s="815"/>
      <c r="AW43" s="815"/>
      <c r="AX43" s="793"/>
    </row>
    <row r="44" spans="1:74">
      <c r="A44" s="793" t="s">
        <v>376</v>
      </c>
      <c r="B44" s="825">
        <f>POWER((1+B43),4)-1</f>
        <v>0.1301465865880389</v>
      </c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08"/>
      <c r="N44" s="815"/>
      <c r="O44" s="815"/>
      <c r="P44" s="815"/>
      <c r="Q44" s="815"/>
      <c r="R44" s="815"/>
      <c r="S44" s="808"/>
      <c r="T44" s="815"/>
      <c r="U44" s="815"/>
      <c r="V44" s="815"/>
      <c r="W44" s="815"/>
      <c r="X44" s="815"/>
      <c r="Y44" s="815"/>
      <c r="Z44" s="815"/>
      <c r="AA44" s="815"/>
      <c r="AB44" s="815"/>
      <c r="AC44" s="815"/>
      <c r="AD44" s="815"/>
      <c r="AE44" s="815"/>
      <c r="AF44" s="815"/>
      <c r="AG44" s="815"/>
      <c r="AH44" s="815"/>
      <c r="AI44" s="815"/>
      <c r="AJ44" s="815"/>
      <c r="AK44" s="815"/>
      <c r="AL44" s="815"/>
      <c r="AM44" s="815"/>
      <c r="AN44" s="815"/>
      <c r="AO44" s="815"/>
      <c r="AP44" s="815"/>
      <c r="AQ44" s="815"/>
      <c r="AR44" s="815"/>
      <c r="AS44" s="815"/>
      <c r="AT44" s="815"/>
      <c r="AU44" s="815"/>
      <c r="AV44" s="815"/>
      <c r="AW44" s="793"/>
      <c r="AX44" s="793"/>
    </row>
    <row r="45" spans="1:74">
      <c r="G45" s="18"/>
    </row>
    <row r="46" spans="1:74">
      <c r="G46" s="18"/>
    </row>
    <row r="47" spans="1:74">
      <c r="G47" s="18"/>
    </row>
    <row r="48" spans="1:74">
      <c r="G48" s="18"/>
    </row>
    <row r="49" spans="7:7">
      <c r="G49" s="18"/>
    </row>
    <row r="50" spans="7:7">
      <c r="G50" s="18"/>
    </row>
    <row r="51" spans="7:7">
      <c r="G51" s="18"/>
    </row>
    <row r="52" spans="7:7">
      <c r="G52" s="18"/>
    </row>
    <row r="53" spans="7:7">
      <c r="G53" s="18"/>
    </row>
    <row r="54" spans="7:7">
      <c r="G54" s="18"/>
    </row>
    <row r="55" spans="7:7">
      <c r="G55" s="18"/>
    </row>
    <row r="56" spans="7:7">
      <c r="G56" s="18"/>
    </row>
    <row r="57" spans="7:7">
      <c r="G57" s="18"/>
    </row>
    <row r="58" spans="7:7">
      <c r="G58" s="18"/>
    </row>
    <row r="59" spans="7:7">
      <c r="G59" s="18"/>
    </row>
    <row r="60" spans="7:7">
      <c r="G60" s="18"/>
    </row>
    <row r="61" spans="7:7">
      <c r="G61" s="18"/>
    </row>
    <row r="62" spans="7:7">
      <c r="G62" s="18"/>
    </row>
    <row r="63" spans="7:7">
      <c r="G63" s="18"/>
    </row>
    <row r="64" spans="7:7">
      <c r="G64" s="18"/>
    </row>
    <row r="65" spans="7:7">
      <c r="G65" s="18"/>
    </row>
    <row r="66" spans="7:7">
      <c r="G66" s="18"/>
    </row>
    <row r="67" spans="7:7">
      <c r="G67" s="18"/>
    </row>
    <row r="68" spans="7:7">
      <c r="G68" s="18"/>
    </row>
    <row r="69" spans="7:7">
      <c r="G69" s="18"/>
    </row>
    <row r="70" spans="7:7">
      <c r="G70" s="18"/>
    </row>
    <row r="71" spans="7:7">
      <c r="G71" s="18"/>
    </row>
    <row r="72" spans="7:7">
      <c r="G72" s="18"/>
    </row>
    <row r="73" spans="7:7">
      <c r="G73" s="18"/>
    </row>
    <row r="74" spans="7:7">
      <c r="G74" s="18"/>
    </row>
    <row r="75" spans="7:7">
      <c r="G75" s="18"/>
    </row>
    <row r="76" spans="7:7">
      <c r="G76" s="18"/>
    </row>
    <row r="77" spans="7:7">
      <c r="G77" s="18"/>
    </row>
    <row r="78" spans="7:7">
      <c r="G78" s="18"/>
    </row>
    <row r="79" spans="7:7">
      <c r="G79" s="18"/>
    </row>
    <row r="80" spans="7:7">
      <c r="G80" s="18"/>
    </row>
    <row r="81" spans="7:7">
      <c r="G81" s="18"/>
    </row>
    <row r="82" spans="7:7">
      <c r="G82" s="18"/>
    </row>
    <row r="83" spans="7:7">
      <c r="G83" s="18"/>
    </row>
    <row r="84" spans="7:7">
      <c r="G84" s="18"/>
    </row>
    <row r="85" spans="7:7">
      <c r="G85" s="18"/>
    </row>
    <row r="86" spans="7:7">
      <c r="G86" s="18"/>
    </row>
    <row r="87" spans="7:7">
      <c r="G87" s="18"/>
    </row>
    <row r="88" spans="7:7">
      <c r="G88" s="18"/>
    </row>
    <row r="89" spans="7:7">
      <c r="G89" s="18"/>
    </row>
    <row r="90" spans="7:7">
      <c r="G90" s="18"/>
    </row>
    <row r="91" spans="7:7">
      <c r="G91" s="18"/>
    </row>
    <row r="92" spans="7:7">
      <c r="G92" s="18"/>
    </row>
    <row r="93" spans="7:7">
      <c r="G93" s="18"/>
    </row>
    <row r="94" spans="7:7">
      <c r="G94" s="18"/>
    </row>
    <row r="95" spans="7:7">
      <c r="G95" s="18"/>
    </row>
    <row r="96" spans="7:7">
      <c r="G96" s="18"/>
    </row>
    <row r="97" spans="7:7">
      <c r="G97" s="18"/>
    </row>
    <row r="98" spans="7:7">
      <c r="G98" s="18"/>
    </row>
    <row r="99" spans="7:7">
      <c r="G99" s="18"/>
    </row>
    <row r="100" spans="7:7">
      <c r="G100" s="18"/>
    </row>
    <row r="101" spans="7:7">
      <c r="G101" s="18"/>
    </row>
    <row r="102" spans="7:7">
      <c r="G102" s="18"/>
    </row>
    <row r="103" spans="7:7">
      <c r="G103" s="18"/>
    </row>
    <row r="104" spans="7:7">
      <c r="G104" s="18"/>
    </row>
    <row r="105" spans="7:7">
      <c r="G105" s="18"/>
    </row>
    <row r="106" spans="7:7">
      <c r="G106" s="18"/>
    </row>
    <row r="107" spans="7:7">
      <c r="G107" s="18"/>
    </row>
    <row r="108" spans="7:7">
      <c r="G108" s="18"/>
    </row>
    <row r="109" spans="7:7">
      <c r="G109" s="18"/>
    </row>
    <row r="110" spans="7:7">
      <c r="G110" s="18"/>
    </row>
    <row r="111" spans="7:7">
      <c r="G111" s="18"/>
    </row>
    <row r="112" spans="7:7">
      <c r="G112" s="18"/>
    </row>
    <row r="113" spans="7:7">
      <c r="G113" s="18"/>
    </row>
    <row r="114" spans="7:7">
      <c r="G114" s="18"/>
    </row>
    <row r="115" spans="7:7">
      <c r="G115" s="18"/>
    </row>
    <row r="116" spans="7:7">
      <c r="G116" s="18"/>
    </row>
    <row r="117" spans="7:7">
      <c r="G117" s="18"/>
    </row>
    <row r="118" spans="7:7">
      <c r="G118" s="18"/>
    </row>
    <row r="119" spans="7:7">
      <c r="G119" s="18"/>
    </row>
    <row r="120" spans="7:7">
      <c r="G120" s="18"/>
    </row>
    <row r="121" spans="7:7">
      <c r="G121" s="18"/>
    </row>
    <row r="122" spans="7:7">
      <c r="G122" s="18"/>
    </row>
    <row r="123" spans="7:7">
      <c r="G123" s="18"/>
    </row>
    <row r="124" spans="7:7">
      <c r="G124" s="18"/>
    </row>
    <row r="125" spans="7:7">
      <c r="G125" s="18"/>
    </row>
    <row r="126" spans="7:7">
      <c r="G126" s="18"/>
    </row>
    <row r="127" spans="7:7">
      <c r="G127" s="18"/>
    </row>
    <row r="128" spans="7:7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</sheetData>
  <mergeCells count="4">
    <mergeCell ref="A1:A3"/>
    <mergeCell ref="A40:B40"/>
    <mergeCell ref="A35:B35"/>
    <mergeCell ref="AV2:AX2"/>
  </mergeCells>
  <phoneticPr fontId="168" type="noConversion"/>
  <conditionalFormatting sqref="AV3:AX3">
    <cfRule type="cellIs" dxfId="75" priority="13" operator="equal">
      <formula>#REF!</formula>
    </cfRule>
    <cfRule type="cellIs" dxfId="74" priority="14" operator="equal">
      <formula>#REF!</formula>
    </cfRule>
  </conditionalFormatting>
  <conditionalFormatting sqref="AV3:AX3">
    <cfRule type="cellIs" dxfId="73" priority="15" operator="equal">
      <formula>#REF!</formula>
    </cfRule>
    <cfRule type="cellIs" dxfId="72" priority="16" operator="equal">
      <formula>#REF!</formula>
    </cfRule>
  </conditionalFormatting>
  <conditionalFormatting sqref="AT4:AU4">
    <cfRule type="cellIs" dxfId="71" priority="9" operator="equal">
      <formula>#REF!</formula>
    </cfRule>
    <cfRule type="cellIs" dxfId="70" priority="10" operator="equal">
      <formula>#REF!</formula>
    </cfRule>
  </conditionalFormatting>
  <conditionalFormatting sqref="AT4:AU4">
    <cfRule type="cellIs" dxfId="69" priority="11" operator="equal">
      <formula>#REF!</formula>
    </cfRule>
    <cfRule type="cellIs" dxfId="68" priority="12" operator="equal">
      <formula>#REF!</formula>
    </cfRule>
  </conditionalFormatting>
  <conditionalFormatting sqref="AT4:AU4">
    <cfRule type="cellIs" dxfId="67" priority="5" operator="equal">
      <formula>#REF!</formula>
    </cfRule>
    <cfRule type="cellIs" dxfId="66" priority="6" operator="equal">
      <formula>#REF!</formula>
    </cfRule>
  </conditionalFormatting>
  <conditionalFormatting sqref="AT4:AU4">
    <cfRule type="cellIs" dxfId="65" priority="7" operator="equal">
      <formula>#REF!</formula>
    </cfRule>
    <cfRule type="cellIs" dxfId="64" priority="8" operator="equal">
      <formula>#REF!</formula>
    </cfRule>
  </conditionalFormatting>
  <conditionalFormatting sqref="D3:AU3">
    <cfRule type="cellIs" dxfId="63" priority="1" operator="equal">
      <formula>#REF!</formula>
    </cfRule>
    <cfRule type="cellIs" dxfId="62" priority="2" operator="equal">
      <formula>#REF!</formula>
    </cfRule>
  </conditionalFormatting>
  <conditionalFormatting sqref="D3:AU3">
    <cfRule type="cellIs" dxfId="61" priority="3" operator="equal">
      <formula>#REF!</formula>
    </cfRule>
    <cfRule type="cellIs" dxfId="60" priority="4" operator="equal">
      <formula>#REF!</formula>
    </cfRule>
  </conditionalFormatting>
  <pageMargins left="0.7" right="0.7" top="0.75" bottom="0.75" header="0.3" footer="0.3"/>
  <pageSetup paperSize="3" orientation="landscape" horizontalDpi="1200" verticalDpi="1200" r:id="rId1"/>
  <headerFooter>
    <oddHeader>&amp;C&amp;"Calibri,Regular"&amp;K000000OVERALL DRAW</oddHeader>
    <oddFooter>&amp;C&amp;"Calibri,Regular"&amp;K000000PAGE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B7A0-3DE2-413F-B6CC-464A5D077EF8}">
  <sheetPr>
    <tabColor theme="6" tint="-0.249977111117893"/>
    <pageSetUpPr fitToPage="1"/>
  </sheetPr>
  <dimension ref="A1:I105"/>
  <sheetViews>
    <sheetView showGridLines="0" tabSelected="1" topLeftCell="A2" workbookViewId="0">
      <selection activeCell="B68" sqref="B68"/>
    </sheetView>
  </sheetViews>
  <sheetFormatPr defaultColWidth="8.85546875" defaultRowHeight="23.25" customHeight="1"/>
  <cols>
    <col min="1" max="1" width="36.5703125" style="18" bestFit="1" customWidth="1"/>
    <col min="2" max="2" width="27" style="18" bestFit="1" customWidth="1"/>
    <col min="3" max="3" width="22.42578125" style="18" bestFit="1" customWidth="1"/>
    <col min="4" max="4" width="16.85546875" style="18" customWidth="1"/>
    <col min="5" max="5" width="22.7109375" style="18" customWidth="1"/>
    <col min="6" max="6" width="26.140625" style="18" customWidth="1"/>
    <col min="7" max="7" width="13.140625" style="18" bestFit="1" customWidth="1"/>
    <col min="8" max="8" width="24.5703125" style="18" customWidth="1"/>
    <col min="9" max="9" width="32.42578125" style="18" customWidth="1"/>
    <col min="10" max="10" width="20.140625" style="18" customWidth="1"/>
    <col min="11" max="16384" width="8.85546875" style="18"/>
  </cols>
  <sheetData>
    <row r="1" spans="1:9" ht="23.25" customHeight="1" thickBot="1">
      <c r="A1" s="14"/>
      <c r="B1" s="15"/>
      <c r="C1" s="16"/>
      <c r="D1" s="17"/>
    </row>
    <row r="2" spans="1:9" ht="23.25" customHeight="1" thickBot="1">
      <c r="A2" s="447" t="s">
        <v>264</v>
      </c>
      <c r="B2" s="448"/>
      <c r="C2" s="448"/>
      <c r="D2" s="446" t="s">
        <v>377</v>
      </c>
      <c r="E2" s="477"/>
    </row>
    <row r="3" spans="1:9" ht="23.25" customHeight="1">
      <c r="A3" s="19"/>
      <c r="B3" s="20"/>
      <c r="C3" s="20"/>
      <c r="D3" s="659">
        <v>0</v>
      </c>
      <c r="E3" s="829" t="s">
        <v>266</v>
      </c>
    </row>
    <row r="4" spans="1:9" ht="26.45">
      <c r="A4" s="21" t="s">
        <v>267</v>
      </c>
      <c r="B4" s="22" t="s">
        <v>268</v>
      </c>
      <c r="C4" s="60" t="s">
        <v>269</v>
      </c>
      <c r="D4" s="60" t="s">
        <v>378</v>
      </c>
      <c r="E4" s="23" t="s">
        <v>271</v>
      </c>
      <c r="F4" s="321"/>
      <c r="G4" s="321"/>
      <c r="H4" s="321"/>
      <c r="I4" s="321"/>
    </row>
    <row r="5" spans="1:9" ht="23.25" customHeight="1">
      <c r="A5" s="661" t="s">
        <v>379</v>
      </c>
      <c r="B5" s="662">
        <v>284</v>
      </c>
      <c r="C5" s="663">
        <v>250</v>
      </c>
      <c r="D5" s="830">
        <v>205</v>
      </c>
      <c r="E5" s="831">
        <f>12*B5*D5</f>
        <v>698640</v>
      </c>
      <c r="F5" s="321"/>
      <c r="G5" s="321"/>
      <c r="H5" s="321"/>
      <c r="I5" s="321"/>
    </row>
    <row r="6" spans="1:9" ht="23.25" hidden="1" customHeight="1">
      <c r="A6" s="661" t="s">
        <v>273</v>
      </c>
      <c r="B6" s="662">
        <v>0</v>
      </c>
      <c r="C6" s="663">
        <f>Assumptions!C10</f>
        <v>650</v>
      </c>
      <c r="D6" s="664">
        <f>Assumptions!C11*(1+D$3)</f>
        <v>2.0499999999999998</v>
      </c>
      <c r="E6" s="831">
        <f t="shared" ref="E6:E9" si="0">12*B6*D6</f>
        <v>0</v>
      </c>
      <c r="F6" s="321"/>
      <c r="G6" s="321"/>
      <c r="H6" s="321"/>
      <c r="I6" s="321"/>
    </row>
    <row r="7" spans="1:9" ht="13.15" hidden="1">
      <c r="A7" s="332" t="s">
        <v>274</v>
      </c>
      <c r="B7" s="333">
        <v>0</v>
      </c>
      <c r="C7" s="334">
        <f>Assumptions!C13</f>
        <v>1000</v>
      </c>
      <c r="D7" s="664">
        <f>Assumptions!C14*(1+D$3)</f>
        <v>1.65</v>
      </c>
      <c r="E7" s="831">
        <f t="shared" si="0"/>
        <v>0</v>
      </c>
      <c r="F7" s="321"/>
      <c r="G7" s="321"/>
      <c r="H7" s="321"/>
      <c r="I7" s="321"/>
    </row>
    <row r="8" spans="1:9" ht="13.15" hidden="1">
      <c r="A8" s="332" t="s">
        <v>275</v>
      </c>
      <c r="B8" s="662">
        <v>0</v>
      </c>
      <c r="C8" s="663">
        <f>Assumptions!C16</f>
        <v>1400</v>
      </c>
      <c r="D8" s="664">
        <f>Assumptions!C17*(1+D$3)</f>
        <v>1.1785714285714286</v>
      </c>
      <c r="E8" s="831">
        <f t="shared" si="0"/>
        <v>0</v>
      </c>
      <c r="F8" s="321"/>
      <c r="G8" s="321"/>
      <c r="H8" s="321"/>
      <c r="I8" s="321"/>
    </row>
    <row r="9" spans="1:9" ht="13.15" hidden="1">
      <c r="A9" s="332"/>
      <c r="B9" s="663"/>
      <c r="C9" s="663"/>
      <c r="D9" s="666"/>
      <c r="E9" s="831">
        <f t="shared" si="0"/>
        <v>0</v>
      </c>
      <c r="F9" s="321"/>
      <c r="G9" s="321"/>
      <c r="H9" s="321"/>
      <c r="I9" s="321"/>
    </row>
    <row r="10" spans="1:9" ht="13.9" thickBot="1">
      <c r="A10" s="332" t="s">
        <v>380</v>
      </c>
      <c r="B10" s="663">
        <v>26</v>
      </c>
      <c r="C10" s="663">
        <v>1000</v>
      </c>
      <c r="D10" s="666">
        <v>240</v>
      </c>
      <c r="E10" s="831">
        <f>B10*D10*C10</f>
        <v>6240000</v>
      </c>
      <c r="F10" s="321"/>
      <c r="G10" s="331">
        <v>122000</v>
      </c>
      <c r="H10" s="321">
        <f>337</f>
        <v>337</v>
      </c>
      <c r="I10" s="321"/>
    </row>
    <row r="11" spans="1:9" ht="14.45" thickTop="1" thickBot="1">
      <c r="A11" s="24" t="s">
        <v>276</v>
      </c>
      <c r="B11" s="25">
        <f>SUM(B5:B10)</f>
        <v>310</v>
      </c>
      <c r="C11" s="26">
        <f>B5*C5+B6*C6+B7*C7+B8*C8+B9*C9+B10*C10</f>
        <v>97000</v>
      </c>
      <c r="D11" s="27"/>
      <c r="E11" s="832">
        <f>SUM(E5:E10)</f>
        <v>6938640</v>
      </c>
      <c r="F11" s="321"/>
      <c r="G11" s="331">
        <f>G10/300</f>
        <v>406.66666666666669</v>
      </c>
      <c r="H11" s="321">
        <f>296</f>
        <v>296</v>
      </c>
      <c r="I11" s="321"/>
    </row>
    <row r="12" spans="1:9" ht="14.45" thickTop="1" thickBot="1">
      <c r="A12" s="28" t="s">
        <v>277</v>
      </c>
      <c r="B12" s="29"/>
      <c r="C12" s="30">
        <f>IFERROR(C11/B11,"0")</f>
        <v>312.90322580645159</v>
      </c>
      <c r="D12" s="31">
        <f>IFERROR((E11/12)/C11,"0")</f>
        <v>5.9610309278350515</v>
      </c>
      <c r="E12" s="335"/>
      <c r="F12" s="321"/>
      <c r="G12" s="331">
        <f>(C5*B5)*1.2</f>
        <v>85200</v>
      </c>
      <c r="H12" s="321">
        <f>H10-H11</f>
        <v>41</v>
      </c>
      <c r="I12" s="321"/>
    </row>
    <row r="13" spans="1:9" ht="9" customHeight="1">
      <c r="A13" s="33"/>
      <c r="B13" s="34"/>
      <c r="C13" s="35"/>
      <c r="D13" s="36"/>
      <c r="F13" s="321"/>
      <c r="G13" s="321"/>
      <c r="H13" s="321">
        <f>H12/H11</f>
        <v>0.13851351351351351</v>
      </c>
      <c r="I13" s="321"/>
    </row>
    <row r="14" spans="1:9" ht="13.15">
      <c r="A14" s="21" t="s">
        <v>278</v>
      </c>
      <c r="B14" s="22" t="s">
        <v>279</v>
      </c>
      <c r="C14" s="22" t="s">
        <v>381</v>
      </c>
      <c r="D14" s="22" t="s">
        <v>382</v>
      </c>
      <c r="E14" s="321"/>
      <c r="F14" s="321"/>
      <c r="G14" s="321"/>
      <c r="H14" s="321"/>
      <c r="I14" s="321"/>
    </row>
    <row r="15" spans="1:9" ht="13.15">
      <c r="A15" s="669" t="s">
        <v>5</v>
      </c>
      <c r="B15" s="670"/>
      <c r="C15" s="671">
        <v>0</v>
      </c>
      <c r="D15" s="672">
        <f>B15*C15</f>
        <v>0</v>
      </c>
      <c r="E15" s="321"/>
      <c r="F15" s="321">
        <v>6.5</v>
      </c>
      <c r="G15" s="321"/>
      <c r="H15" s="321"/>
      <c r="I15" s="321"/>
    </row>
    <row r="16" spans="1:9" ht="13.9" thickBot="1">
      <c r="A16" s="673" t="s">
        <v>383</v>
      </c>
      <c r="B16" s="674">
        <v>210000</v>
      </c>
      <c r="C16" s="675">
        <v>700</v>
      </c>
      <c r="D16" s="676">
        <f>B16*C16</f>
        <v>147000000</v>
      </c>
      <c r="E16" s="328">
        <f>E10/B10</f>
        <v>240000</v>
      </c>
      <c r="F16" s="321">
        <v>7.1</v>
      </c>
      <c r="G16" s="321"/>
      <c r="H16" s="321"/>
      <c r="I16" s="321"/>
    </row>
    <row r="17" spans="1:9" ht="14.45" thickTop="1" thickBot="1">
      <c r="A17" s="37" t="s">
        <v>281</v>
      </c>
      <c r="B17" s="677">
        <f>SUM(B15:B16)</f>
        <v>210000</v>
      </c>
      <c r="C17" s="38">
        <f>IF(B17=0,0,D17/B17)</f>
        <v>700</v>
      </c>
      <c r="D17" s="39">
        <f>SUM(D15:D16)</f>
        <v>147000000</v>
      </c>
      <c r="E17" s="323"/>
      <c r="F17" s="329">
        <f>(F16*(B16/B17))+(F15*(B15/B17))</f>
        <v>7.1</v>
      </c>
      <c r="G17" s="321"/>
      <c r="H17" s="321"/>
      <c r="I17" s="321"/>
    </row>
    <row r="18" spans="1:9" ht="13.15">
      <c r="A18" s="678" t="s">
        <v>282</v>
      </c>
      <c r="B18" s="679" t="str">
        <f>D2</f>
        <v>Hotel &amp; Library</v>
      </c>
      <c r="C18" s="321"/>
      <c r="D18" s="321"/>
      <c r="E18" s="321"/>
      <c r="F18" s="321">
        <v>122000</v>
      </c>
      <c r="G18" s="321">
        <f>F18/250</f>
        <v>488</v>
      </c>
      <c r="H18" s="321"/>
      <c r="I18" s="321"/>
    </row>
    <row r="19" spans="1:9" ht="13.15">
      <c r="A19" s="524" t="s">
        <v>384</v>
      </c>
      <c r="B19" s="680"/>
      <c r="C19" s="322"/>
      <c r="D19" s="323"/>
      <c r="E19" s="321"/>
      <c r="F19" s="321">
        <f>F18-(26*1000)</f>
        <v>96000</v>
      </c>
      <c r="G19" s="321">
        <f>F19/250</f>
        <v>384</v>
      </c>
      <c r="H19" s="321"/>
      <c r="I19" s="321"/>
    </row>
    <row r="20" spans="1:9" ht="13.9" thickBot="1">
      <c r="A20" s="551" t="s">
        <v>31</v>
      </c>
      <c r="B20" s="680">
        <f>D20</f>
        <v>803.33333333333337</v>
      </c>
      <c r="C20" s="322"/>
      <c r="D20" s="323">
        <f>(B17/300)+(B11/3)</f>
        <v>803.33333333333337</v>
      </c>
      <c r="E20" s="321"/>
      <c r="F20" s="321"/>
      <c r="G20" s="321"/>
      <c r="H20" s="321"/>
      <c r="I20" s="321"/>
    </row>
    <row r="21" spans="1:9" ht="14.45" thickTop="1" thickBot="1">
      <c r="A21" s="43" t="s">
        <v>283</v>
      </c>
      <c r="B21" s="44">
        <f>SUM(B19:B20)</f>
        <v>803.33333333333337</v>
      </c>
      <c r="C21" s="322"/>
      <c r="D21" s="323"/>
      <c r="E21" s="321"/>
      <c r="F21" s="321"/>
      <c r="G21" s="321"/>
      <c r="H21" s="321"/>
      <c r="I21" s="321"/>
    </row>
    <row r="22" spans="1:9" ht="13.15">
      <c r="A22" s="681" t="s">
        <v>284</v>
      </c>
      <c r="B22" s="682" t="str">
        <f>D2</f>
        <v>Hotel &amp; Library</v>
      </c>
      <c r="C22" s="321"/>
      <c r="D22" s="321"/>
      <c r="E22" s="321"/>
      <c r="F22" s="321">
        <f>C11/3</f>
        <v>32333.333333333332</v>
      </c>
      <c r="G22" s="321"/>
      <c r="H22" s="321"/>
      <c r="I22" s="321"/>
    </row>
    <row r="23" spans="1:9" ht="13.15">
      <c r="A23" s="683" t="s">
        <v>285</v>
      </c>
      <c r="B23" s="684">
        <f>'Development Program'!D5</f>
        <v>588931.19999999995</v>
      </c>
      <c r="C23" s="324"/>
      <c r="D23" s="325">
        <v>197000</v>
      </c>
      <c r="E23" s="321"/>
      <c r="F23" s="321">
        <f>(F22*0.8)/1000</f>
        <v>25.866666666666667</v>
      </c>
      <c r="G23" s="321"/>
      <c r="H23" s="330">
        <f>E10*0.65</f>
        <v>4056000</v>
      </c>
      <c r="I23" s="321"/>
    </row>
    <row r="24" spans="1:9" ht="13.15">
      <c r="A24" s="683" t="s">
        <v>286</v>
      </c>
      <c r="B24" s="684">
        <f>C11+B17</f>
        <v>307000</v>
      </c>
      <c r="C24" s="324"/>
      <c r="D24" s="325"/>
      <c r="E24" s="321"/>
      <c r="F24" s="321"/>
      <c r="G24" s="321"/>
      <c r="H24" s="330">
        <f>H23/0.065</f>
        <v>62400000</v>
      </c>
      <c r="I24" s="321"/>
    </row>
    <row r="25" spans="1:9" ht="13.15">
      <c r="A25" s="685">
        <f>Assumptions!C24</f>
        <v>350</v>
      </c>
      <c r="B25" s="684">
        <f>B20*A25</f>
        <v>281166.66666666669</v>
      </c>
      <c r="C25" s="326">
        <f>B27/D23</f>
        <v>0.89568527918781737</v>
      </c>
      <c r="D25" s="327">
        <f>B26/D23</f>
        <v>3.5827411167512695</v>
      </c>
      <c r="E25" s="321"/>
      <c r="F25" s="321"/>
      <c r="G25" s="321"/>
      <c r="H25" s="330">
        <f>H24/B10</f>
        <v>2400000</v>
      </c>
      <c r="I25" s="321"/>
    </row>
    <row r="26" spans="1:9" ht="13.15">
      <c r="A26" s="686">
        <v>0.2</v>
      </c>
      <c r="B26" s="684">
        <f>(1+A26)*(B24+B25)</f>
        <v>705800.00000000012</v>
      </c>
      <c r="C26" s="326">
        <f>B27/B23</f>
        <v>0.29961054873642295</v>
      </c>
      <c r="D26" s="327">
        <f>B26/B23</f>
        <v>1.1984421949456918</v>
      </c>
      <c r="E26" s="321"/>
      <c r="F26" s="321"/>
      <c r="G26" s="321"/>
      <c r="H26" s="321"/>
      <c r="I26" s="321"/>
    </row>
    <row r="27" spans="1:9" ht="13.9" thickBot="1">
      <c r="A27" s="687">
        <v>4</v>
      </c>
      <c r="B27" s="688">
        <f>B26/A27</f>
        <v>176450.00000000003</v>
      </c>
      <c r="C27" s="46"/>
      <c r="D27" s="47"/>
      <c r="E27" s="321"/>
      <c r="F27" s="321"/>
      <c r="G27" s="321"/>
      <c r="H27" s="321"/>
      <c r="I27" s="321"/>
    </row>
    <row r="28" spans="1:9" ht="15" customHeight="1" thickBot="1">
      <c r="A28" s="461" t="s">
        <v>287</v>
      </c>
      <c r="B28" s="462"/>
      <c r="C28" s="356" t="str">
        <f>D2</f>
        <v>Hotel &amp; Library</v>
      </c>
      <c r="D28" s="357"/>
      <c r="E28" s="321"/>
      <c r="F28" s="321"/>
      <c r="G28" s="321"/>
      <c r="H28" s="321"/>
      <c r="I28" s="321"/>
    </row>
    <row r="29" spans="1:9" ht="13.9" thickBot="1">
      <c r="A29" s="342" t="s">
        <v>288</v>
      </c>
      <c r="B29" s="343" t="s">
        <v>289</v>
      </c>
      <c r="C29" s="343" t="s">
        <v>290</v>
      </c>
      <c r="D29" s="344" t="s">
        <v>291</v>
      </c>
      <c r="E29" s="321"/>
      <c r="F29" s="321">
        <v>245000000</v>
      </c>
      <c r="G29" s="321">
        <v>240000</v>
      </c>
      <c r="H29" s="321">
        <f>F29/G29</f>
        <v>1020.8333333333334</v>
      </c>
      <c r="I29" s="321"/>
    </row>
    <row r="30" spans="1:9" ht="13.15">
      <c r="A30" s="345" t="s">
        <v>385</v>
      </c>
      <c r="B30" s="346">
        <f>D30/B5</f>
        <v>2460</v>
      </c>
      <c r="C30" s="689">
        <f>D30/(B5*C5*1.2)</f>
        <v>8.1999999999999993</v>
      </c>
      <c r="D30" s="48">
        <f>SUM(E5)</f>
        <v>698640</v>
      </c>
      <c r="E30" s="321"/>
      <c r="F30" s="321">
        <f>F29/1.336</f>
        <v>183383233.53293413</v>
      </c>
      <c r="G30" s="321"/>
      <c r="H30" s="321">
        <f>F30/G29</f>
        <v>764.09680638722557</v>
      </c>
      <c r="I30" s="321"/>
    </row>
    <row r="31" spans="1:9" ht="13.15">
      <c r="A31" s="690"/>
      <c r="B31" s="459"/>
      <c r="C31" s="460"/>
      <c r="D31" s="691"/>
      <c r="E31" s="321"/>
      <c r="F31" s="321"/>
      <c r="G31" s="321"/>
      <c r="H31" s="321"/>
      <c r="I31" s="321"/>
    </row>
    <row r="32" spans="1:9" ht="13.15">
      <c r="A32" s="692"/>
      <c r="B32" s="693" t="s">
        <v>294</v>
      </c>
      <c r="C32" s="693"/>
      <c r="D32" s="694">
        <f>SUM(D30:D31)</f>
        <v>698640</v>
      </c>
      <c r="E32" s="321"/>
      <c r="F32" s="321"/>
      <c r="G32" s="321"/>
      <c r="H32" s="321"/>
      <c r="I32" s="321"/>
    </row>
    <row r="33" spans="1:5" ht="13.15">
      <c r="A33" s="695" t="s">
        <v>295</v>
      </c>
      <c r="B33" s="694" t="s">
        <v>296</v>
      </c>
      <c r="C33" s="694" t="s">
        <v>297</v>
      </c>
      <c r="D33" s="694"/>
      <c r="E33" s="45"/>
    </row>
    <row r="34" spans="1:5" ht="13.15">
      <c r="A34" s="692" t="s">
        <v>298</v>
      </c>
      <c r="B34" s="696">
        <v>50</v>
      </c>
      <c r="C34" s="697">
        <f>D34/(C5*B5*1.2)</f>
        <v>5.657276995305164</v>
      </c>
      <c r="D34" s="696">
        <f>B20*12*Assumptions!C32</f>
        <v>482000</v>
      </c>
      <c r="E34" s="45"/>
    </row>
    <row r="35" spans="1:5" ht="13.15">
      <c r="A35" s="692" t="s">
        <v>299</v>
      </c>
      <c r="B35" s="696">
        <f>D35/B11</f>
        <v>315.51483870967746</v>
      </c>
      <c r="C35" s="697">
        <f>D35/C11</f>
        <v>1.0083463917525775</v>
      </c>
      <c r="D35" s="696">
        <f>0.14*D32</f>
        <v>97809.600000000006</v>
      </c>
      <c r="E35" s="292"/>
    </row>
    <row r="36" spans="1:5" ht="13.9" thickBot="1">
      <c r="A36" s="49" t="s">
        <v>301</v>
      </c>
      <c r="B36" s="451"/>
      <c r="C36" s="452"/>
      <c r="D36" s="50">
        <f>SUM(D34:D35)</f>
        <v>579809.6</v>
      </c>
      <c r="E36" s="45"/>
    </row>
    <row r="37" spans="1:5" ht="14.45" thickTop="1" thickBot="1">
      <c r="A37" s="203" t="s">
        <v>386</v>
      </c>
      <c r="B37" s="453"/>
      <c r="C37" s="454"/>
      <c r="D37" s="52">
        <v>0</v>
      </c>
      <c r="E37" s="292"/>
    </row>
    <row r="38" spans="1:5" ht="14.45" thickTop="1" thickBot="1">
      <c r="A38" s="347" t="s">
        <v>302</v>
      </c>
      <c r="B38" s="53"/>
      <c r="C38" s="698"/>
      <c r="D38" s="54">
        <f>D32+D36+D37</f>
        <v>1278449.6000000001</v>
      </c>
      <c r="E38" s="45"/>
    </row>
    <row r="39" spans="1:5" ht="13.15">
      <c r="A39" s="21" t="s">
        <v>303</v>
      </c>
      <c r="B39" s="22" t="s">
        <v>289</v>
      </c>
      <c r="C39" s="22" t="s">
        <v>304</v>
      </c>
      <c r="D39" s="55" t="s">
        <v>291</v>
      </c>
      <c r="E39" s="45"/>
    </row>
    <row r="40" spans="1:5" ht="13.9" thickBot="1">
      <c r="A40" s="56" t="s">
        <v>305</v>
      </c>
      <c r="B40" s="57"/>
      <c r="C40" s="57"/>
      <c r="D40" s="57">
        <f>-0.3*D32</f>
        <v>-209592</v>
      </c>
      <c r="E40" s="45"/>
    </row>
    <row r="41" spans="1:5" ht="13.9" thickBot="1">
      <c r="A41" s="297" t="s">
        <v>306</v>
      </c>
      <c r="B41" s="298"/>
      <c r="C41" s="299"/>
      <c r="D41" s="298">
        <f>D38+D40</f>
        <v>1068857.6000000001</v>
      </c>
      <c r="E41" s="45"/>
    </row>
    <row r="42" spans="1:5" ht="13.9" thickBot="1">
      <c r="A42" s="699" t="s">
        <v>307</v>
      </c>
      <c r="B42" s="58" t="s">
        <v>308</v>
      </c>
      <c r="C42" s="59">
        <v>6.5000000000000002E-2</v>
      </c>
      <c r="D42" s="700">
        <f>D41/C42</f>
        <v>16443963.076923078</v>
      </c>
      <c r="E42" s="45"/>
    </row>
    <row r="43" spans="1:5" ht="13.9" thickBot="1">
      <c r="A43" s="833" t="s">
        <v>387</v>
      </c>
      <c r="B43" s="834"/>
      <c r="C43" s="834"/>
      <c r="D43" s="486"/>
      <c r="E43" s="45"/>
    </row>
    <row r="44" spans="1:5" ht="13.9" thickBot="1">
      <c r="A44" s="342" t="s">
        <v>288</v>
      </c>
      <c r="B44" s="295" t="s">
        <v>289</v>
      </c>
      <c r="C44" s="295" t="s">
        <v>290</v>
      </c>
      <c r="D44" s="296" t="s">
        <v>388</v>
      </c>
      <c r="E44" s="45"/>
    </row>
    <row r="45" spans="1:5" ht="13.15">
      <c r="A45" s="745" t="s">
        <v>389</v>
      </c>
      <c r="B45" s="835">
        <f>D45/(B10*C10*1.2)</f>
        <v>200</v>
      </c>
      <c r="C45" s="836">
        <f>D45/(C10*B10*1.2)</f>
        <v>200</v>
      </c>
      <c r="D45" s="835">
        <f>E10</f>
        <v>6240000</v>
      </c>
      <c r="E45" s="45"/>
    </row>
    <row r="46" spans="1:5" ht="13.15">
      <c r="A46" s="141" t="s">
        <v>390</v>
      </c>
      <c r="B46" s="835"/>
      <c r="C46" s="836">
        <v>1020</v>
      </c>
      <c r="D46" s="835">
        <f>D17</f>
        <v>147000000</v>
      </c>
      <c r="E46" s="45"/>
    </row>
    <row r="47" spans="1:5" ht="13.9" thickBot="1">
      <c r="A47" s="837">
        <v>0.04</v>
      </c>
      <c r="B47" s="459"/>
      <c r="C47" s="460"/>
      <c r="D47" s="838">
        <f>-0.04*SUM(D45:D46)</f>
        <v>-6129600</v>
      </c>
      <c r="E47" s="45"/>
    </row>
    <row r="48" spans="1:5" ht="14.45" thickTop="1" thickBot="1">
      <c r="A48" s="471" t="s">
        <v>335</v>
      </c>
      <c r="B48" s="472"/>
      <c r="C48" s="473"/>
      <c r="D48" s="700">
        <f>SUM(D45:D47)</f>
        <v>147110400</v>
      </c>
      <c r="E48" s="45"/>
    </row>
    <row r="49" spans="1:6" ht="13.9" thickBot="1">
      <c r="A49" s="474" t="s">
        <v>309</v>
      </c>
      <c r="B49" s="475"/>
      <c r="C49" s="476" t="str">
        <f>D2</f>
        <v>Hotel &amp; Library</v>
      </c>
      <c r="D49" s="476"/>
      <c r="F49" s="280"/>
    </row>
    <row r="50" spans="1:6" ht="13.9" thickBot="1">
      <c r="A50" s="681"/>
      <c r="B50" s="60" t="s">
        <v>310</v>
      </c>
      <c r="C50" s="60" t="s">
        <v>311</v>
      </c>
      <c r="D50" s="60" t="s">
        <v>289</v>
      </c>
    </row>
    <row r="51" spans="1:6" ht="13.15">
      <c r="A51" s="241" t="s">
        <v>312</v>
      </c>
      <c r="B51" s="701" t="s">
        <v>391</v>
      </c>
      <c r="C51" s="702">
        <f>(275*(C11))+(250*(B17))</f>
        <v>79175000</v>
      </c>
      <c r="D51" s="696">
        <f>C51/$B$24</f>
        <v>257.89902280130292</v>
      </c>
    </row>
    <row r="52" spans="1:6" ht="13.15">
      <c r="A52" s="61" t="s">
        <v>392</v>
      </c>
      <c r="B52" s="703">
        <v>15000</v>
      </c>
      <c r="C52" s="62">
        <f>B21*B52</f>
        <v>12050000</v>
      </c>
      <c r="D52" s="696">
        <f t="shared" ref="D52:D73" si="1">C52/$B$24</f>
        <v>39.250814332247558</v>
      </c>
    </row>
    <row r="53" spans="1:6" ht="13.15">
      <c r="A53" s="61" t="s">
        <v>121</v>
      </c>
      <c r="B53" s="704">
        <v>7.0000000000000007E-2</v>
      </c>
      <c r="C53" s="62">
        <f>B53*C51</f>
        <v>5542250.0000000009</v>
      </c>
      <c r="D53" s="696">
        <f t="shared" si="1"/>
        <v>18.052931596091209</v>
      </c>
    </row>
    <row r="54" spans="1:6" ht="13.15">
      <c r="A54" s="61" t="s">
        <v>205</v>
      </c>
      <c r="B54" s="704" t="s">
        <v>131</v>
      </c>
      <c r="C54" s="62">
        <v>1300000</v>
      </c>
      <c r="D54" s="696">
        <f t="shared" si="1"/>
        <v>4.234527687296417</v>
      </c>
    </row>
    <row r="55" spans="1:6" ht="13.15">
      <c r="A55" s="61" t="s">
        <v>314</v>
      </c>
      <c r="B55" s="705" t="s">
        <v>315</v>
      </c>
      <c r="C55" s="706">
        <f>B23*2.81</f>
        <v>1654896.6719999998</v>
      </c>
      <c r="D55" s="696">
        <f t="shared" si="1"/>
        <v>5.3905429055374583</v>
      </c>
    </row>
    <row r="56" spans="1:6" ht="13.15">
      <c r="A56" s="61" t="s">
        <v>124</v>
      </c>
      <c r="B56" s="707">
        <v>72</v>
      </c>
      <c r="C56" s="62">
        <f>(B17/300*B56)</f>
        <v>50400</v>
      </c>
      <c r="D56" s="696">
        <f t="shared" si="1"/>
        <v>0.16416938110749185</v>
      </c>
      <c r="F56" s="321">
        <f>15*92000</f>
        <v>1380000</v>
      </c>
    </row>
    <row r="57" spans="1:6" ht="13.15">
      <c r="A57" s="61" t="s">
        <v>316</v>
      </c>
      <c r="B57" s="708" t="s">
        <v>317</v>
      </c>
      <c r="C57" s="62">
        <f>'Development Program'!D20+'Development Program'!D21</f>
        <v>110000</v>
      </c>
      <c r="D57" s="696">
        <f t="shared" si="1"/>
        <v>0.35830618892508143</v>
      </c>
    </row>
    <row r="58" spans="1:6" ht="13.15">
      <c r="A58" s="524" t="s">
        <v>130</v>
      </c>
      <c r="B58" s="709" t="s">
        <v>131</v>
      </c>
      <c r="C58" s="710">
        <f>1000*B17/300</f>
        <v>700000</v>
      </c>
      <c r="D58" s="696">
        <f t="shared" si="1"/>
        <v>2.2801302931596092</v>
      </c>
    </row>
    <row r="59" spans="1:6" ht="13.15">
      <c r="A59" s="524" t="s">
        <v>132</v>
      </c>
      <c r="B59" s="709" t="s">
        <v>131</v>
      </c>
      <c r="C59" s="710">
        <v>86025</v>
      </c>
      <c r="D59" s="696">
        <f t="shared" si="1"/>
        <v>0.28021172638436481</v>
      </c>
      <c r="E59" s="63"/>
      <c r="F59" s="81"/>
    </row>
    <row r="60" spans="1:6" ht="13.15">
      <c r="A60" s="524" t="s">
        <v>51</v>
      </c>
      <c r="B60" s="709">
        <v>10</v>
      </c>
      <c r="C60" s="710">
        <f>B60*B23*0.1</f>
        <v>588931.20000000007</v>
      </c>
      <c r="D60" s="696">
        <f t="shared" si="1"/>
        <v>1.9183426710097722</v>
      </c>
      <c r="E60" s="63"/>
      <c r="F60" s="81"/>
    </row>
    <row r="61" spans="1:6" ht="12" customHeight="1">
      <c r="A61" s="524" t="s">
        <v>134</v>
      </c>
      <c r="B61" s="711">
        <v>0.03</v>
      </c>
      <c r="C61" s="712">
        <f>B61*(C51+C53)</f>
        <v>2541517.5</v>
      </c>
      <c r="D61" s="696">
        <f t="shared" si="1"/>
        <v>8.2785586319218236</v>
      </c>
    </row>
    <row r="62" spans="1:6" ht="13.15">
      <c r="A62" s="524" t="s">
        <v>136</v>
      </c>
      <c r="B62" s="713">
        <v>0.03</v>
      </c>
      <c r="C62" s="714">
        <f>B62*SUM(C51:C61)</f>
        <v>3113970.6111600003</v>
      </c>
      <c r="D62" s="696">
        <f t="shared" si="1"/>
        <v>10.143226746449512</v>
      </c>
    </row>
    <row r="63" spans="1:6" ht="13.15">
      <c r="A63" s="524" t="s">
        <v>138</v>
      </c>
      <c r="B63" s="711">
        <v>0.02</v>
      </c>
      <c r="C63" s="712">
        <f>B63*(C51+C53)</f>
        <v>1694345</v>
      </c>
      <c r="D63" s="696">
        <f t="shared" si="1"/>
        <v>5.519039087947883</v>
      </c>
    </row>
    <row r="64" spans="1:6" ht="13.15">
      <c r="A64" s="524" t="s">
        <v>318</v>
      </c>
      <c r="B64" s="715" t="s">
        <v>131</v>
      </c>
      <c r="C64" s="710">
        <f>0.31*D42*0.06</f>
        <v>305857.71323076927</v>
      </c>
      <c r="D64" s="696">
        <f t="shared" si="1"/>
        <v>0.99627919619143079</v>
      </c>
    </row>
    <row r="65" spans="1:7" ht="13.15">
      <c r="A65" s="524" t="s">
        <v>142</v>
      </c>
      <c r="B65" s="716">
        <v>6000</v>
      </c>
      <c r="C65" s="712">
        <f>B65*B26/3000</f>
        <v>1411600.0000000002</v>
      </c>
      <c r="D65" s="696">
        <f t="shared" si="1"/>
        <v>4.5980456026058638</v>
      </c>
    </row>
    <row r="66" spans="1:7" ht="13.15">
      <c r="A66" s="524" t="s">
        <v>144</v>
      </c>
      <c r="B66" s="709" t="s">
        <v>131</v>
      </c>
      <c r="C66" s="710">
        <v>200000</v>
      </c>
      <c r="D66" s="696">
        <f t="shared" si="1"/>
        <v>0.65146579804560256</v>
      </c>
    </row>
    <row r="67" spans="1:7" ht="13.15">
      <c r="A67" s="524" t="s">
        <v>145</v>
      </c>
      <c r="B67" s="717">
        <v>6</v>
      </c>
      <c r="C67" s="712">
        <f>-B67*(D40/12)</f>
        <v>104796</v>
      </c>
      <c r="D67" s="696">
        <f t="shared" si="1"/>
        <v>0.34135504885993484</v>
      </c>
    </row>
    <row r="68" spans="1:7" ht="13.15">
      <c r="A68" s="524" t="s">
        <v>319</v>
      </c>
      <c r="B68" s="196">
        <v>0</v>
      </c>
      <c r="C68" s="712">
        <f>B15*B68</f>
        <v>0</v>
      </c>
      <c r="D68" s="696">
        <f t="shared" si="1"/>
        <v>0</v>
      </c>
    </row>
    <row r="69" spans="1:7" ht="13.15">
      <c r="A69" s="524" t="s">
        <v>320</v>
      </c>
      <c r="B69" s="718">
        <v>0.06</v>
      </c>
      <c r="C69" s="714">
        <v>0</v>
      </c>
      <c r="D69" s="696">
        <f t="shared" si="1"/>
        <v>0</v>
      </c>
      <c r="E69" s="293"/>
    </row>
    <row r="70" spans="1:7" ht="13.15">
      <c r="A70" s="524" t="s">
        <v>148</v>
      </c>
      <c r="B70" s="719">
        <v>1.4999999999999999E-2</v>
      </c>
      <c r="C70" s="714">
        <v>1197870.199339516</v>
      </c>
      <c r="D70" s="696">
        <f t="shared" si="1"/>
        <v>3.9018573268388144</v>
      </c>
      <c r="E70" s="457" t="s">
        <v>321</v>
      </c>
      <c r="F70" s="458"/>
      <c r="G70" s="65">
        <f>B70*B83</f>
        <v>1263706.0678896245</v>
      </c>
    </row>
    <row r="71" spans="1:7" ht="12.95" customHeight="1">
      <c r="A71" s="720" t="s">
        <v>149</v>
      </c>
      <c r="B71" s="721">
        <v>7.0000000000000007E-2</v>
      </c>
      <c r="C71" s="714">
        <v>5590060.930251075</v>
      </c>
      <c r="D71" s="696">
        <f t="shared" si="1"/>
        <v>18.208667525247801</v>
      </c>
      <c r="E71" s="457" t="s">
        <v>321</v>
      </c>
      <c r="F71" s="458"/>
      <c r="G71" s="66">
        <f>B71*B83</f>
        <v>5897294.9834849145</v>
      </c>
    </row>
    <row r="72" spans="1:7" ht="13.9" thickBot="1">
      <c r="A72" s="551" t="s">
        <v>322</v>
      </c>
      <c r="B72" s="722" t="s">
        <v>131</v>
      </c>
      <c r="C72" s="723">
        <f>SUM(C51:C71)*0.025</f>
        <v>2935438.0206495342</v>
      </c>
      <c r="D72" s="724">
        <f t="shared" si="1"/>
        <v>9.5616873636792636</v>
      </c>
      <c r="G72" s="81"/>
    </row>
    <row r="73" spans="1:7" ht="14.45" thickTop="1" thickBot="1">
      <c r="A73" s="725" t="s">
        <v>323</v>
      </c>
      <c r="B73" s="726"/>
      <c r="C73" s="67">
        <f>SUM(C51:C72)</f>
        <v>120352958.8466309</v>
      </c>
      <c r="D73" s="272">
        <f t="shared" si="1"/>
        <v>392.02918191084984</v>
      </c>
    </row>
    <row r="74" spans="1:7" ht="13.15">
      <c r="A74" s="727" t="s">
        <v>324</v>
      </c>
      <c r="B74" s="728">
        <f>(D41+D48)/C73</f>
        <v>1.2312057719231391</v>
      </c>
    </row>
    <row r="75" spans="1:7" ht="13.15">
      <c r="A75" s="729" t="s">
        <v>325</v>
      </c>
      <c r="B75" s="730">
        <f>((D42+D48)/C73)-1</f>
        <v>0.35895589642581971</v>
      </c>
      <c r="C75" s="68"/>
      <c r="D75" s="69"/>
    </row>
    <row r="76" spans="1:7" ht="13.9" thickBot="1">
      <c r="A76" s="731">
        <v>0.3</v>
      </c>
      <c r="B76" s="732">
        <f>(D42/(1+A76))</f>
        <v>12649202.366863906</v>
      </c>
    </row>
    <row r="77" spans="1:7" ht="13.9" thickBot="1">
      <c r="A77" s="733">
        <v>0.3</v>
      </c>
      <c r="B77" s="732">
        <f>ROUND(((D42+D48)/(1+A77))-C73,-3)</f>
        <v>5458000</v>
      </c>
      <c r="C77" s="70" t="s">
        <v>326</v>
      </c>
    </row>
    <row r="78" spans="1:7" ht="13.9" thickBot="1">
      <c r="A78" s="71"/>
      <c r="B78" s="72"/>
    </row>
    <row r="79" spans="1:7" ht="15" customHeight="1" thickBot="1">
      <c r="A79" s="455" t="s">
        <v>327</v>
      </c>
      <c r="B79" s="456"/>
      <c r="C79" s="734" t="str">
        <f>D2</f>
        <v>Hotel &amp; Library</v>
      </c>
    </row>
    <row r="80" spans="1:7" ht="13.9" thickBot="1">
      <c r="A80" s="735"/>
      <c r="B80" s="736" t="s">
        <v>328</v>
      </c>
      <c r="C80" s="737" t="s">
        <v>289</v>
      </c>
    </row>
    <row r="81" spans="1:5" ht="13.15">
      <c r="A81" s="73" t="s">
        <v>329</v>
      </c>
      <c r="B81" s="244">
        <f>IF(B77&lt;0,B77,0)</f>
        <v>0</v>
      </c>
      <c r="C81" s="738">
        <f>B81/B$17</f>
        <v>0</v>
      </c>
    </row>
    <row r="82" spans="1:5" ht="13.15">
      <c r="A82" s="75" t="s">
        <v>330</v>
      </c>
      <c r="B82" s="244">
        <f>C73+B81</f>
        <v>120352958.8466309</v>
      </c>
      <c r="C82" s="738">
        <f t="shared" ref="C82:C85" si="2">B82/B$17</f>
        <v>573.10932784109957</v>
      </c>
    </row>
    <row r="83" spans="1:5" ht="13.15">
      <c r="A83" s="739">
        <f>Assumptions!H16</f>
        <v>0.7</v>
      </c>
      <c r="B83" s="245">
        <f>A83*C$73</f>
        <v>84247071.192641631</v>
      </c>
      <c r="C83" s="738">
        <f t="shared" si="2"/>
        <v>401.17652948876969</v>
      </c>
    </row>
    <row r="84" spans="1:5" ht="13.9" thickBot="1">
      <c r="A84" s="740">
        <f>1-A83</f>
        <v>0.30000000000000004</v>
      </c>
      <c r="B84" s="245">
        <f>A84*C$73</f>
        <v>36105887.653989278</v>
      </c>
      <c r="C84" s="738">
        <f t="shared" si="2"/>
        <v>171.93279835232988</v>
      </c>
      <c r="D84" s="69"/>
    </row>
    <row r="85" spans="1:5" ht="13.9" thickTop="1">
      <c r="A85" s="138" t="s">
        <v>331</v>
      </c>
      <c r="B85" s="741">
        <f>B83+B84</f>
        <v>120352958.8466309</v>
      </c>
      <c r="C85" s="738">
        <f t="shared" si="2"/>
        <v>573.10932784109957</v>
      </c>
    </row>
    <row r="86" spans="1:5" ht="13.9" thickBot="1">
      <c r="A86" s="742"/>
      <c r="B86" s="231"/>
      <c r="C86" s="743"/>
    </row>
    <row r="87" spans="1:5" ht="15" customHeight="1" thickBot="1">
      <c r="A87" s="455" t="s">
        <v>332</v>
      </c>
      <c r="B87" s="456"/>
      <c r="C87" s="734" t="str">
        <f>D2</f>
        <v>Hotel &amp; Library</v>
      </c>
    </row>
    <row r="88" spans="1:5" ht="13.9" thickBot="1">
      <c r="A88" s="79"/>
      <c r="B88" s="744" t="s">
        <v>333</v>
      </c>
      <c r="C88" s="744"/>
    </row>
    <row r="89" spans="1:5" ht="13.15">
      <c r="A89" s="745" t="s">
        <v>334</v>
      </c>
      <c r="B89" s="746">
        <f>D42</f>
        <v>16443963.076923078</v>
      </c>
      <c r="C89" s="747"/>
    </row>
    <row r="90" spans="1:5" ht="13.9" thickBot="1">
      <c r="A90" s="748">
        <v>0.02</v>
      </c>
      <c r="B90" s="749">
        <f>-A90*B89</f>
        <v>-328879.26153846155</v>
      </c>
      <c r="C90" s="750"/>
    </row>
    <row r="91" spans="1:5" ht="14.45" thickTop="1" thickBot="1">
      <c r="A91" s="751" t="s">
        <v>335</v>
      </c>
      <c r="B91" s="246">
        <f>B89+B90</f>
        <v>16115083.815384617</v>
      </c>
      <c r="C91" s="80"/>
      <c r="E91" s="81"/>
    </row>
    <row r="92" spans="1:5" ht="13.15">
      <c r="A92" s="745" t="s">
        <v>336</v>
      </c>
      <c r="B92" s="746">
        <f>-B83</f>
        <v>-84247071.192641631</v>
      </c>
      <c r="C92" s="747"/>
    </row>
    <row r="93" spans="1:5" ht="13.9" thickBot="1">
      <c r="A93" s="752" t="s">
        <v>337</v>
      </c>
      <c r="B93" s="753">
        <f>-B84</f>
        <v>-36105887.653989278</v>
      </c>
      <c r="C93" s="750"/>
    </row>
    <row r="94" spans="1:5" ht="14.45" thickTop="1" thickBot="1">
      <c r="A94" s="156" t="s">
        <v>338</v>
      </c>
      <c r="B94" s="247">
        <f>ROUND(B91+B92+B93,-2)</f>
        <v>-104237900</v>
      </c>
      <c r="C94" s="82"/>
      <c r="D94" s="83"/>
    </row>
    <row r="95" spans="1:5" ht="13.9" thickBot="1">
      <c r="A95" s="754" t="s">
        <v>339</v>
      </c>
      <c r="B95" s="755"/>
      <c r="C95" s="756"/>
    </row>
    <row r="96" spans="1:5" ht="13.15">
      <c r="A96" s="757" t="s">
        <v>340</v>
      </c>
      <c r="B96" s="758">
        <f>ROUND((B89)/B$17,-2)</f>
        <v>100</v>
      </c>
      <c r="C96" s="758"/>
    </row>
    <row r="97" spans="1:4" ht="13.9" thickBot="1">
      <c r="A97" s="759" t="s">
        <v>341</v>
      </c>
      <c r="B97" s="760">
        <f>ROUND((B91)/B$17,-2)</f>
        <v>100</v>
      </c>
      <c r="C97" s="760"/>
    </row>
    <row r="98" spans="1:4" ht="13.15">
      <c r="A98" s="761" t="s">
        <v>342</v>
      </c>
      <c r="B98" s="762"/>
      <c r="C98" s="763"/>
    </row>
    <row r="99" spans="1:4" ht="13.9" thickBot="1">
      <c r="A99" s="742"/>
      <c r="B99" s="84"/>
      <c r="C99" s="84"/>
    </row>
    <row r="100" spans="1:4" ht="13.15">
      <c r="A100" s="85"/>
      <c r="B100" s="744" t="s">
        <v>333</v>
      </c>
      <c r="C100" s="744"/>
    </row>
    <row r="101" spans="1:4" ht="13.15">
      <c r="A101" s="764" t="s">
        <v>343</v>
      </c>
      <c r="B101" s="765">
        <f>(B94+B84)/B84</f>
        <v>-1.8870056041533969</v>
      </c>
      <c r="C101" s="765"/>
    </row>
    <row r="102" spans="1:4" ht="13.15">
      <c r="A102" s="766" t="s">
        <v>344</v>
      </c>
      <c r="B102" s="767">
        <f>'B DRAW'!B39</f>
        <v>0</v>
      </c>
      <c r="C102" s="767"/>
      <c r="D102" s="86"/>
    </row>
    <row r="103" spans="1:4" ht="13.15">
      <c r="A103" s="766" t="s">
        <v>345</v>
      </c>
      <c r="B103" s="767">
        <f>'B DRAW'!B44</f>
        <v>0</v>
      </c>
      <c r="C103" s="767"/>
      <c r="D103" s="86"/>
    </row>
    <row r="104" spans="1:4" ht="13.15">
      <c r="A104" s="764" t="s">
        <v>346</v>
      </c>
      <c r="B104" s="768">
        <f>D41/B83</f>
        <v>1.2687178140067581E-2</v>
      </c>
      <c r="C104" s="768"/>
    </row>
    <row r="105" spans="1:4" ht="13.15">
      <c r="A105" s="764" t="s">
        <v>347</v>
      </c>
      <c r="B105" s="769">
        <f>C42</f>
        <v>6.5000000000000002E-2</v>
      </c>
      <c r="C105" s="769"/>
    </row>
  </sheetData>
  <mergeCells count="18">
    <mergeCell ref="B36:C36"/>
    <mergeCell ref="A2:C2"/>
    <mergeCell ref="D2:E2"/>
    <mergeCell ref="A28:B28"/>
    <mergeCell ref="B31:C31"/>
    <mergeCell ref="B32:C32"/>
    <mergeCell ref="B37:C37"/>
    <mergeCell ref="A49:B49"/>
    <mergeCell ref="C49:D49"/>
    <mergeCell ref="E70:F70"/>
    <mergeCell ref="E71:F71"/>
    <mergeCell ref="A87:B87"/>
    <mergeCell ref="A95:C95"/>
    <mergeCell ref="A98:C98"/>
    <mergeCell ref="A43:D43"/>
    <mergeCell ref="B47:C47"/>
    <mergeCell ref="A48:C48"/>
    <mergeCell ref="A79:B79"/>
  </mergeCells>
  <printOptions horizontalCentered="1" verticalCentered="1"/>
  <pageMargins left="0.7" right="0.7" top="0.75" bottom="0.75" header="0.3" footer="0.3"/>
  <pageSetup fitToHeight="0" orientation="landscape" horizontalDpi="4294967292" verticalDpi="4294967292" r:id="rId1"/>
  <headerFooter>
    <oddHeader>&amp;C&amp;"Times New Roman Bold,Bold"&amp;14&amp;K000000INVESTOR SHEET</oddHeader>
    <oddFooter>&amp;CPage &amp;P of &amp;N</oddFooter>
  </headerFooter>
  <rowBreaks count="2" manualBreakCount="2">
    <brk id="27" max="4" man="1"/>
    <brk id="73" max="4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FCEF-BC19-4F52-B109-0A8F86A2B98E}">
  <sheetPr>
    <tabColor rgb="FF0070C0"/>
  </sheetPr>
  <dimension ref="A1:BZ601"/>
  <sheetViews>
    <sheetView topLeftCell="A4" workbookViewId="0">
      <selection activeCell="C35" sqref="C35"/>
    </sheetView>
  </sheetViews>
  <sheetFormatPr defaultColWidth="8.85546875" defaultRowHeight="14.45"/>
  <cols>
    <col min="1" max="1" width="45.5703125" style="18" customWidth="1"/>
    <col min="2" max="2" width="21.42578125" style="18" customWidth="1"/>
    <col min="3" max="3" width="17.140625" style="18" customWidth="1"/>
    <col min="4" max="4" width="15" style="18" customWidth="1"/>
    <col min="5" max="5" width="17.140625" style="18" customWidth="1"/>
    <col min="6" max="6" width="16" style="18" customWidth="1"/>
    <col min="7" max="7" width="14.42578125" style="162" customWidth="1"/>
    <col min="8" max="10" width="19" style="18" customWidth="1"/>
    <col min="11" max="11" width="18.5703125" style="18" customWidth="1"/>
    <col min="12" max="12" width="16.42578125" style="18" customWidth="1"/>
    <col min="13" max="13" width="15" style="18" customWidth="1"/>
    <col min="14" max="14" width="14.140625" style="18" customWidth="1"/>
    <col min="15" max="15" width="14.42578125" style="18" customWidth="1"/>
    <col min="16" max="16" width="15.42578125" style="18" customWidth="1"/>
    <col min="17" max="17" width="16.140625" style="18" customWidth="1"/>
    <col min="18" max="18" width="15.42578125" style="18" customWidth="1"/>
    <col min="19" max="19" width="13.85546875" style="18" customWidth="1"/>
    <col min="20" max="21" width="14" style="18" customWidth="1"/>
    <col min="22" max="22" width="16" style="18" customWidth="1"/>
    <col min="23" max="24" width="14.42578125" style="18" customWidth="1"/>
    <col min="25" max="44" width="14.42578125" style="18" hidden="1" customWidth="1"/>
    <col min="45" max="45" width="12.5703125" style="18" hidden="1" customWidth="1"/>
    <col min="46" max="46" width="17" style="18" hidden="1" customWidth="1"/>
    <col min="47" max="47" width="16.42578125" style="18" hidden="1" customWidth="1"/>
    <col min="48" max="48" width="13.42578125" style="18" hidden="1" customWidth="1"/>
    <col min="49" max="49" width="15" style="18" hidden="1" customWidth="1"/>
    <col min="50" max="50" width="20.42578125" style="18" customWidth="1"/>
    <col min="51" max="75" width="17" style="18" customWidth="1"/>
    <col min="76" max="76" width="16.5703125" style="18" customWidth="1"/>
    <col min="77" max="77" width="15" customWidth="1"/>
    <col min="78" max="78" width="17.85546875" bestFit="1" customWidth="1"/>
    <col min="79" max="79" width="9.5703125" style="18" bestFit="1" customWidth="1"/>
    <col min="80" max="80" width="11.85546875" style="18" bestFit="1" customWidth="1"/>
    <col min="81" max="82" width="9.5703125" style="18" bestFit="1" customWidth="1"/>
    <col min="83" max="16384" width="8.85546875" style="18"/>
  </cols>
  <sheetData>
    <row r="1" spans="1:76" ht="15" thickBot="1">
      <c r="A1" s="465" t="str">
        <f>'Development Program'!B30</f>
        <v>Hotel &amp; Library</v>
      </c>
      <c r="B1" s="232" t="s">
        <v>348</v>
      </c>
      <c r="C1" s="218" t="str">
        <f>'Development Program'!C27</f>
        <v>Pre-Development</v>
      </c>
      <c r="D1" s="218" t="str">
        <f>'Development Program'!D27</f>
        <v>Demolition</v>
      </c>
      <c r="E1" s="218" t="str">
        <f>'Development Program'!E27</f>
        <v>Construction</v>
      </c>
      <c r="F1" s="218" t="str">
        <f>'Development Program'!F27</f>
        <v>Close-out</v>
      </c>
      <c r="G1" s="69"/>
    </row>
    <row r="2" spans="1:76" ht="15" thickBot="1">
      <c r="A2" s="466"/>
      <c r="B2" s="770" t="s">
        <v>349</v>
      </c>
      <c r="C2" s="771" t="str">
        <f>'Development Program'!C30</f>
        <v>01/1/25 to 12/31/25</v>
      </c>
      <c r="D2" s="772" t="str">
        <f>'Development Program'!D30</f>
        <v>1/1/26 to 6/30/26</v>
      </c>
      <c r="E2" s="771" t="str">
        <f>'Development Program'!E30</f>
        <v>7/1/26 to 12/31/29</v>
      </c>
      <c r="F2" s="773" t="str">
        <f>'Development Program'!F30</f>
        <v>1/1/30 to 6/30/30</v>
      </c>
      <c r="G2" s="18"/>
      <c r="H2" s="253" t="s">
        <v>350</v>
      </c>
      <c r="I2" s="253" t="s">
        <v>393</v>
      </c>
      <c r="J2" s="253" t="s">
        <v>394</v>
      </c>
      <c r="K2" s="253" t="s">
        <v>351</v>
      </c>
      <c r="V2" s="253" t="s">
        <v>352</v>
      </c>
      <c r="W2" s="254" t="s">
        <v>353</v>
      </c>
      <c r="X2" s="254" t="s">
        <v>354</v>
      </c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X2" s="470" t="s">
        <v>355</v>
      </c>
      <c r="AY2" s="470"/>
      <c r="AZ2" s="470"/>
    </row>
    <row r="3" spans="1:76" ht="15" thickBot="1">
      <c r="A3" s="467"/>
      <c r="B3" s="166" t="s">
        <v>202</v>
      </c>
      <c r="C3" s="220">
        <v>45658</v>
      </c>
      <c r="D3" s="221">
        <f>EOMONTH(C3,2)</f>
        <v>45747</v>
      </c>
      <c r="E3" s="221">
        <f t="shared" ref="E3:H3" si="0">EOMONTH(D3,2)</f>
        <v>45808</v>
      </c>
      <c r="F3" s="221">
        <f t="shared" si="0"/>
        <v>45869</v>
      </c>
      <c r="G3" s="221">
        <f t="shared" si="0"/>
        <v>45930</v>
      </c>
      <c r="H3" s="221">
        <f t="shared" si="0"/>
        <v>45991</v>
      </c>
      <c r="I3" s="221">
        <f>EOMONTH(H3,2)</f>
        <v>46053</v>
      </c>
      <c r="J3" s="221">
        <f>EOMONTH(I3,3)</f>
        <v>46142</v>
      </c>
      <c r="K3" s="221">
        <f>EOMONTH(J3,3)</f>
        <v>46234</v>
      </c>
      <c r="L3" s="221">
        <f>EOMONTH(K3,4)</f>
        <v>46356</v>
      </c>
      <c r="M3" s="221">
        <f t="shared" ref="M3:R3" si="1">EOMONTH(L3,4)</f>
        <v>46477</v>
      </c>
      <c r="N3" s="221">
        <f t="shared" si="1"/>
        <v>46599</v>
      </c>
      <c r="O3" s="221">
        <f t="shared" si="1"/>
        <v>46721</v>
      </c>
      <c r="P3" s="221">
        <f t="shared" si="1"/>
        <v>46843</v>
      </c>
      <c r="Q3" s="221">
        <f>EOMONTH(P3,4)</f>
        <v>46965</v>
      </c>
      <c r="R3" s="221">
        <f t="shared" si="1"/>
        <v>47087</v>
      </c>
      <c r="S3" s="221">
        <f t="shared" ref="S3:V3" si="2">EOMONTH(R3,3)</f>
        <v>47177</v>
      </c>
      <c r="T3" s="221">
        <f t="shared" si="2"/>
        <v>47269</v>
      </c>
      <c r="U3" s="221">
        <f t="shared" si="2"/>
        <v>47361</v>
      </c>
      <c r="V3" s="221">
        <f t="shared" si="2"/>
        <v>47452</v>
      </c>
      <c r="W3" s="221">
        <f t="shared" ref="W3:X3" si="3">EOMONTH(V3,2)</f>
        <v>47514</v>
      </c>
      <c r="X3" s="221">
        <f t="shared" si="3"/>
        <v>47573</v>
      </c>
      <c r="Y3" s="775">
        <f t="shared" ref="Y3:AM3" si="4">EOMONTH(X3,3)</f>
        <v>47664</v>
      </c>
      <c r="Z3" s="774">
        <f t="shared" si="4"/>
        <v>47756</v>
      </c>
      <c r="AA3" s="774">
        <f t="shared" si="4"/>
        <v>47848</v>
      </c>
      <c r="AB3" s="774">
        <f t="shared" si="4"/>
        <v>47938</v>
      </c>
      <c r="AC3" s="774">
        <f t="shared" si="4"/>
        <v>48029</v>
      </c>
      <c r="AD3" s="774">
        <f t="shared" si="4"/>
        <v>48121</v>
      </c>
      <c r="AE3" s="774">
        <f t="shared" si="4"/>
        <v>48213</v>
      </c>
      <c r="AF3" s="774">
        <f t="shared" si="4"/>
        <v>48304</v>
      </c>
      <c r="AG3" s="774">
        <f t="shared" si="4"/>
        <v>48395</v>
      </c>
      <c r="AH3" s="774">
        <f t="shared" si="4"/>
        <v>48487</v>
      </c>
      <c r="AI3" s="774">
        <f t="shared" si="4"/>
        <v>48579</v>
      </c>
      <c r="AJ3" s="774">
        <f t="shared" si="4"/>
        <v>48669</v>
      </c>
      <c r="AK3" s="774">
        <f t="shared" si="4"/>
        <v>48760</v>
      </c>
      <c r="AL3" s="774">
        <f t="shared" si="4"/>
        <v>48852</v>
      </c>
      <c r="AM3" s="774">
        <f t="shared" si="4"/>
        <v>48944</v>
      </c>
      <c r="AN3" s="774">
        <f>EOMONTH(AM3,3)</f>
        <v>49034</v>
      </c>
      <c r="AO3" s="774">
        <f t="shared" ref="AO3:AW3" si="5">EOMONTH(AN3,3)</f>
        <v>49125</v>
      </c>
      <c r="AP3" s="774">
        <f t="shared" si="5"/>
        <v>49217</v>
      </c>
      <c r="AQ3" s="774">
        <f t="shared" si="5"/>
        <v>49309</v>
      </c>
      <c r="AR3" s="774">
        <f t="shared" si="5"/>
        <v>49399</v>
      </c>
      <c r="AS3" s="774">
        <f t="shared" si="5"/>
        <v>49490</v>
      </c>
      <c r="AT3" s="774">
        <f t="shared" si="5"/>
        <v>49582</v>
      </c>
      <c r="AU3" s="774">
        <f>EOMONTH(AT3,3)</f>
        <v>49674</v>
      </c>
      <c r="AV3" s="774">
        <f t="shared" si="5"/>
        <v>49765</v>
      </c>
      <c r="AW3" s="774">
        <f t="shared" si="5"/>
        <v>49856</v>
      </c>
      <c r="AX3" s="776" t="s">
        <v>356</v>
      </c>
      <c r="AY3" s="777" t="s">
        <v>357</v>
      </c>
      <c r="AZ3" s="776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ht="15" thickBot="1">
      <c r="A4" s="778" t="s">
        <v>358</v>
      </c>
      <c r="B4" s="779">
        <v>1</v>
      </c>
      <c r="C4" s="249">
        <v>0</v>
      </c>
      <c r="D4" s="249">
        <v>0</v>
      </c>
      <c r="E4" s="249">
        <v>0</v>
      </c>
      <c r="F4" s="249">
        <f t="shared" ref="F4:G4" si="6">E4</f>
        <v>0</v>
      </c>
      <c r="G4" s="248">
        <f t="shared" si="6"/>
        <v>0</v>
      </c>
      <c r="H4" s="248">
        <v>0</v>
      </c>
      <c r="I4" s="248">
        <v>0</v>
      </c>
      <c r="J4" s="248">
        <v>0</v>
      </c>
      <c r="K4" s="248">
        <v>0.05</v>
      </c>
      <c r="L4" s="248">
        <v>0.05</v>
      </c>
      <c r="M4" s="248">
        <v>0.05</v>
      </c>
      <c r="N4" s="248">
        <v>0.05</v>
      </c>
      <c r="O4" s="248">
        <v>0.12</v>
      </c>
      <c r="P4" s="248">
        <v>0.12</v>
      </c>
      <c r="Q4" s="248">
        <v>0.12</v>
      </c>
      <c r="R4" s="248">
        <v>0.12</v>
      </c>
      <c r="S4" s="248">
        <v>0.08</v>
      </c>
      <c r="T4" s="248">
        <v>0.08</v>
      </c>
      <c r="U4" s="248">
        <v>0.08</v>
      </c>
      <c r="V4" s="248">
        <v>0.08</v>
      </c>
      <c r="W4" s="248">
        <v>0</v>
      </c>
      <c r="X4" s="248">
        <v>0</v>
      </c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780">
        <f>SUM(C4:AW4)</f>
        <v>0.99999999999999989</v>
      </c>
      <c r="AY4" s="781"/>
      <c r="AZ4" s="782" t="s">
        <v>359</v>
      </c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>
      <c r="A5" s="174" t="str">
        <f>'B Financial'!A51</f>
        <v>Hard Costs for Construction</v>
      </c>
      <c r="B5" s="783">
        <f>'B Financial'!C51</f>
        <v>79175000</v>
      </c>
      <c r="C5" s="784">
        <f t="shared" ref="C5:W5" si="7">$B$5*C4</f>
        <v>0</v>
      </c>
      <c r="D5" s="784">
        <f t="shared" si="7"/>
        <v>0</v>
      </c>
      <c r="E5" s="784">
        <f t="shared" si="7"/>
        <v>0</v>
      </c>
      <c r="F5" s="784">
        <f t="shared" si="7"/>
        <v>0</v>
      </c>
      <c r="G5" s="784">
        <f t="shared" si="7"/>
        <v>0</v>
      </c>
      <c r="H5" s="784">
        <f t="shared" si="7"/>
        <v>0</v>
      </c>
      <c r="I5" s="784">
        <f t="shared" ref="I5:J5" si="8">$B$5*I4</f>
        <v>0</v>
      </c>
      <c r="J5" s="784">
        <f t="shared" si="8"/>
        <v>0</v>
      </c>
      <c r="K5" s="784">
        <f t="shared" si="7"/>
        <v>3958750</v>
      </c>
      <c r="L5" s="784">
        <f t="shared" si="7"/>
        <v>3958750</v>
      </c>
      <c r="M5" s="784">
        <f t="shared" si="7"/>
        <v>3958750</v>
      </c>
      <c r="N5" s="784">
        <f t="shared" si="7"/>
        <v>3958750</v>
      </c>
      <c r="O5" s="784">
        <f t="shared" si="7"/>
        <v>9501000</v>
      </c>
      <c r="P5" s="784">
        <f t="shared" si="7"/>
        <v>9501000</v>
      </c>
      <c r="Q5" s="784">
        <f t="shared" si="7"/>
        <v>9501000</v>
      </c>
      <c r="R5" s="784">
        <f t="shared" si="7"/>
        <v>9501000</v>
      </c>
      <c r="S5" s="784">
        <f t="shared" si="7"/>
        <v>6334000</v>
      </c>
      <c r="T5" s="784">
        <f t="shared" si="7"/>
        <v>6334000</v>
      </c>
      <c r="U5" s="784">
        <f t="shared" si="7"/>
        <v>6334000</v>
      </c>
      <c r="V5" s="784">
        <f t="shared" si="7"/>
        <v>6334000</v>
      </c>
      <c r="W5" s="784">
        <f t="shared" si="7"/>
        <v>0</v>
      </c>
      <c r="X5" s="784">
        <f>$B$5*X4</f>
        <v>0</v>
      </c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>
        <f>SUM(C5:AW5)</f>
        <v>79175000</v>
      </c>
      <c r="AY5" s="785">
        <f t="shared" ref="AY5:AY26" si="9">B5</f>
        <v>79175000</v>
      </c>
      <c r="AZ5" s="785">
        <f>AY5-AX5</f>
        <v>0</v>
      </c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>
      <c r="A6" s="174" t="str">
        <f>'B Financial'!A52</f>
        <v>Parking stalls (Mix:Covered &amp; Surface)</v>
      </c>
      <c r="B6" s="783">
        <f>'B Financial'!C52</f>
        <v>12050000</v>
      </c>
      <c r="C6" s="784">
        <f>$B$6*C4</f>
        <v>0</v>
      </c>
      <c r="D6" s="784">
        <f t="shared" ref="D6:W6" si="10">$B$6*D4</f>
        <v>0</v>
      </c>
      <c r="E6" s="784">
        <f t="shared" si="10"/>
        <v>0</v>
      </c>
      <c r="F6" s="784">
        <f t="shared" si="10"/>
        <v>0</v>
      </c>
      <c r="G6" s="784">
        <f t="shared" si="10"/>
        <v>0</v>
      </c>
      <c r="H6" s="784">
        <f t="shared" si="10"/>
        <v>0</v>
      </c>
      <c r="I6" s="784">
        <f t="shared" ref="I6:J6" si="11">$B$6*I4</f>
        <v>0</v>
      </c>
      <c r="J6" s="784">
        <f t="shared" si="11"/>
        <v>0</v>
      </c>
      <c r="K6" s="784">
        <f t="shared" si="10"/>
        <v>602500</v>
      </c>
      <c r="L6" s="784">
        <f t="shared" si="10"/>
        <v>602500</v>
      </c>
      <c r="M6" s="784">
        <f t="shared" si="10"/>
        <v>602500</v>
      </c>
      <c r="N6" s="784">
        <f t="shared" si="10"/>
        <v>602500</v>
      </c>
      <c r="O6" s="784">
        <f t="shared" si="10"/>
        <v>1446000</v>
      </c>
      <c r="P6" s="784">
        <f t="shared" si="10"/>
        <v>1446000</v>
      </c>
      <c r="Q6" s="784">
        <f t="shared" si="10"/>
        <v>1446000</v>
      </c>
      <c r="R6" s="784">
        <f t="shared" si="10"/>
        <v>1446000</v>
      </c>
      <c r="S6" s="784">
        <f t="shared" si="10"/>
        <v>964000</v>
      </c>
      <c r="T6" s="784">
        <f t="shared" si="10"/>
        <v>964000</v>
      </c>
      <c r="U6" s="784">
        <f t="shared" si="10"/>
        <v>964000</v>
      </c>
      <c r="V6" s="784">
        <f t="shared" si="10"/>
        <v>964000</v>
      </c>
      <c r="W6" s="784">
        <f t="shared" si="10"/>
        <v>0</v>
      </c>
      <c r="X6" s="784">
        <f>$B$6*X4</f>
        <v>0</v>
      </c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>
        <f>SUM(C6:AW6)</f>
        <v>12050000</v>
      </c>
      <c r="AY6" s="785">
        <f t="shared" si="9"/>
        <v>12050000</v>
      </c>
      <c r="AZ6" s="785">
        <f t="shared" ref="AZ6:AZ26" si="12">AY6-AX6</f>
        <v>0</v>
      </c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>
      <c r="A7" s="174" t="str">
        <f>'B Financial'!A53</f>
        <v>Hard Cost Contingency</v>
      </c>
      <c r="B7" s="783">
        <f>'B Financial'!C53</f>
        <v>5542250.0000000009</v>
      </c>
      <c r="C7" s="784">
        <f t="shared" ref="C7:S7" si="13">$B7*C$4</f>
        <v>0</v>
      </c>
      <c r="D7" s="784">
        <f t="shared" si="13"/>
        <v>0</v>
      </c>
      <c r="E7" s="784">
        <f t="shared" si="13"/>
        <v>0</v>
      </c>
      <c r="F7" s="784">
        <f t="shared" si="13"/>
        <v>0</v>
      </c>
      <c r="G7" s="784">
        <f t="shared" si="13"/>
        <v>0</v>
      </c>
      <c r="H7" s="784">
        <f t="shared" si="13"/>
        <v>0</v>
      </c>
      <c r="I7" s="784">
        <f t="shared" si="13"/>
        <v>0</v>
      </c>
      <c r="J7" s="784">
        <f t="shared" si="13"/>
        <v>0</v>
      </c>
      <c r="K7" s="784">
        <f t="shared" si="13"/>
        <v>277112.50000000006</v>
      </c>
      <c r="L7" s="784">
        <f t="shared" si="13"/>
        <v>277112.50000000006</v>
      </c>
      <c r="M7" s="784">
        <f t="shared" si="13"/>
        <v>277112.50000000006</v>
      </c>
      <c r="N7" s="784">
        <f t="shared" si="13"/>
        <v>277112.50000000006</v>
      </c>
      <c r="O7" s="784">
        <f t="shared" si="13"/>
        <v>665070.00000000012</v>
      </c>
      <c r="P7" s="784">
        <f t="shared" si="13"/>
        <v>665070.00000000012</v>
      </c>
      <c r="Q7" s="784">
        <f t="shared" si="13"/>
        <v>665070.00000000012</v>
      </c>
      <c r="R7" s="784">
        <f t="shared" si="13"/>
        <v>665070.00000000012</v>
      </c>
      <c r="S7" s="784">
        <f t="shared" si="13"/>
        <v>443380.00000000006</v>
      </c>
      <c r="T7" s="784">
        <f>$B7*T$4</f>
        <v>443380.00000000006</v>
      </c>
      <c r="U7" s="784">
        <f t="shared" ref="U7:W7" si="14">$B7*U$4</f>
        <v>443380.00000000006</v>
      </c>
      <c r="V7" s="784">
        <f t="shared" si="14"/>
        <v>443380.00000000006</v>
      </c>
      <c r="W7" s="784">
        <f t="shared" si="14"/>
        <v>0</v>
      </c>
      <c r="X7" s="784">
        <f>$B7*X$4</f>
        <v>0</v>
      </c>
      <c r="Y7" s="785"/>
      <c r="Z7" s="785"/>
      <c r="AA7" s="785"/>
      <c r="AB7" s="785"/>
      <c r="AC7" s="785"/>
      <c r="AD7" s="785"/>
      <c r="AE7" s="785"/>
      <c r="AF7" s="785"/>
      <c r="AG7" s="785"/>
      <c r="AH7" s="785"/>
      <c r="AI7" s="785"/>
      <c r="AJ7" s="785"/>
      <c r="AK7" s="785"/>
      <c r="AL7" s="785"/>
      <c r="AM7" s="785"/>
      <c r="AN7" s="785"/>
      <c r="AO7" s="785"/>
      <c r="AP7" s="785"/>
      <c r="AQ7" s="785"/>
      <c r="AR7" s="785"/>
      <c r="AS7" s="785"/>
      <c r="AT7" s="785"/>
      <c r="AU7" s="785"/>
      <c r="AV7" s="785"/>
      <c r="AW7" s="785"/>
      <c r="AX7" s="785">
        <f>SUM(C7:AW7)</f>
        <v>5542250.0000000009</v>
      </c>
      <c r="AY7" s="785">
        <f t="shared" si="9"/>
        <v>5542250.0000000009</v>
      </c>
      <c r="AZ7" s="785">
        <f t="shared" si="12"/>
        <v>0</v>
      </c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>
      <c r="A8" s="174" t="str">
        <f>'B Financial'!A54</f>
        <v>Demolition</v>
      </c>
      <c r="B8" s="783">
        <f>'B Financial'!C54</f>
        <v>1300000</v>
      </c>
      <c r="C8" s="784"/>
      <c r="D8" s="784"/>
      <c r="E8" s="784"/>
      <c r="F8" s="784"/>
      <c r="G8" s="784"/>
      <c r="H8" s="784"/>
      <c r="I8" s="784"/>
      <c r="J8" s="784">
        <f>B8</f>
        <v>1300000</v>
      </c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5"/>
      <c r="Z8" s="785"/>
      <c r="AA8" s="785"/>
      <c r="AB8" s="785"/>
      <c r="AC8" s="785"/>
      <c r="AD8" s="785"/>
      <c r="AE8" s="785"/>
      <c r="AF8" s="785"/>
      <c r="AG8" s="785"/>
      <c r="AH8" s="785"/>
      <c r="AI8" s="785"/>
      <c r="AJ8" s="785"/>
      <c r="AK8" s="785"/>
      <c r="AL8" s="785"/>
      <c r="AM8" s="785"/>
      <c r="AN8" s="785"/>
      <c r="AO8" s="785"/>
      <c r="AP8" s="785"/>
      <c r="AQ8" s="785"/>
      <c r="AR8" s="785"/>
      <c r="AS8" s="785"/>
      <c r="AT8" s="785"/>
      <c r="AU8" s="785"/>
      <c r="AV8" s="785"/>
      <c r="AW8" s="785"/>
      <c r="AX8" s="785">
        <f>SUM(C8:AW8)</f>
        <v>1300000</v>
      </c>
      <c r="AY8" s="785">
        <f t="shared" si="9"/>
        <v>1300000</v>
      </c>
      <c r="AZ8" s="785">
        <f t="shared" si="12"/>
        <v>0</v>
      </c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>
      <c r="A9" s="174" t="str">
        <f>'B Financial'!A55</f>
        <v>LAND</v>
      </c>
      <c r="B9" s="783">
        <f>'B Financial'!C55</f>
        <v>1654896.6719999998</v>
      </c>
      <c r="C9" s="250"/>
      <c r="D9" s="786"/>
      <c r="E9" s="784">
        <f>B9*0.05</f>
        <v>82744.833599999998</v>
      </c>
      <c r="F9" s="784"/>
      <c r="G9" s="787"/>
      <c r="H9" s="787"/>
      <c r="I9" s="787"/>
      <c r="J9" s="787"/>
      <c r="K9" s="784">
        <f>$B9-$E9</f>
        <v>1572151.8383999998</v>
      </c>
      <c r="L9" s="788"/>
      <c r="M9" s="786"/>
      <c r="N9" s="786"/>
      <c r="O9" s="789"/>
      <c r="P9" s="786"/>
      <c r="Q9" s="786"/>
      <c r="R9" s="786"/>
      <c r="S9" s="786">
        <v>0</v>
      </c>
      <c r="T9" s="786">
        <v>0</v>
      </c>
      <c r="U9" s="786">
        <v>0</v>
      </c>
      <c r="V9" s="786">
        <v>0</v>
      </c>
      <c r="W9" s="786">
        <v>0</v>
      </c>
      <c r="X9" s="786">
        <v>0</v>
      </c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0"/>
      <c r="AS9" s="790"/>
      <c r="AT9" s="790"/>
      <c r="AU9" s="790"/>
      <c r="AV9" s="790"/>
      <c r="AW9" s="790"/>
      <c r="AX9" s="785">
        <f>SUM(D9:AW9)</f>
        <v>1654896.6719999998</v>
      </c>
      <c r="AY9" s="785">
        <f t="shared" si="9"/>
        <v>1654896.6719999998</v>
      </c>
      <c r="AZ9" s="785">
        <f t="shared" si="12"/>
        <v>0</v>
      </c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>
      <c r="A10" s="174" t="str">
        <f>'B Financial'!A56</f>
        <v>Municipal Fees and Allowances</v>
      </c>
      <c r="B10" s="783">
        <f>'B Financial'!C56</f>
        <v>50400</v>
      </c>
      <c r="C10" s="789"/>
      <c r="D10" s="786"/>
      <c r="E10" s="784"/>
      <c r="F10" s="784"/>
      <c r="G10" s="784"/>
      <c r="H10" s="787"/>
      <c r="I10" s="787"/>
      <c r="J10" s="787"/>
      <c r="K10" s="784">
        <f>$B10</f>
        <v>50400</v>
      </c>
      <c r="L10" s="784"/>
      <c r="M10" s="786"/>
      <c r="N10" s="786"/>
      <c r="O10" s="786"/>
      <c r="P10" s="786"/>
      <c r="Q10" s="786"/>
      <c r="R10" s="786"/>
      <c r="S10" s="786"/>
      <c r="T10" s="786"/>
      <c r="U10" s="251"/>
      <c r="V10" s="786"/>
      <c r="W10" s="786"/>
      <c r="X10" s="786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790"/>
      <c r="AK10" s="790"/>
      <c r="AL10" s="790"/>
      <c r="AM10" s="790"/>
      <c r="AN10" s="790"/>
      <c r="AO10" s="790"/>
      <c r="AP10" s="790"/>
      <c r="AQ10" s="790"/>
      <c r="AR10" s="790"/>
      <c r="AS10" s="790"/>
      <c r="AT10" s="790"/>
      <c r="AU10" s="790"/>
      <c r="AV10" s="790"/>
      <c r="AW10" s="790"/>
      <c r="AX10" s="785">
        <f t="shared" ref="AX10:AX26" si="15">SUM(C10:AW10)</f>
        <v>50400</v>
      </c>
      <c r="AY10" s="785">
        <f t="shared" si="9"/>
        <v>50400</v>
      </c>
      <c r="AZ10" s="785">
        <f t="shared" si="12"/>
        <v>0</v>
      </c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>
      <c r="A11" s="174" t="str">
        <f>'B Financial'!A57</f>
        <v>Infrastructure allocation</v>
      </c>
      <c r="B11" s="783">
        <f>'B Financial'!C57</f>
        <v>110000</v>
      </c>
      <c r="C11" s="791"/>
      <c r="D11" s="790"/>
      <c r="E11" s="792"/>
      <c r="F11" s="792"/>
      <c r="G11" s="792"/>
      <c r="H11" s="792"/>
      <c r="I11" s="792"/>
      <c r="J11" s="792"/>
      <c r="K11" s="792"/>
      <c r="L11" s="792"/>
      <c r="M11" s="790"/>
      <c r="N11" s="790"/>
      <c r="O11" s="790"/>
      <c r="P11" s="790"/>
      <c r="Q11" s="790"/>
      <c r="R11" s="790"/>
      <c r="S11" s="790"/>
      <c r="T11" s="784">
        <f>$B11/2</f>
        <v>55000</v>
      </c>
      <c r="U11" s="784">
        <f>$B11/2</f>
        <v>55000</v>
      </c>
      <c r="V11" s="790"/>
      <c r="W11" s="787"/>
      <c r="X11" s="787"/>
      <c r="Y11" s="793"/>
      <c r="Z11" s="793"/>
      <c r="AA11" s="793"/>
      <c r="AB11" s="793"/>
      <c r="AC11" s="793"/>
      <c r="AD11" s="793"/>
      <c r="AE11" s="793"/>
      <c r="AF11" s="793"/>
      <c r="AG11" s="793"/>
      <c r="AH11" s="793"/>
      <c r="AI11" s="793"/>
      <c r="AJ11" s="793"/>
      <c r="AK11" s="793"/>
      <c r="AL11" s="793"/>
      <c r="AM11" s="793"/>
      <c r="AN11" s="793"/>
      <c r="AO11" s="793"/>
      <c r="AP11" s="793"/>
      <c r="AQ11" s="793"/>
      <c r="AR11" s="793"/>
      <c r="AS11" s="790"/>
      <c r="AT11" s="790"/>
      <c r="AU11" s="790"/>
      <c r="AV11" s="790"/>
      <c r="AW11" s="790"/>
      <c r="AX11" s="785">
        <f t="shared" si="15"/>
        <v>110000</v>
      </c>
      <c r="AY11" s="785">
        <f t="shared" si="9"/>
        <v>110000</v>
      </c>
      <c r="AZ11" s="785">
        <f t="shared" si="12"/>
        <v>0</v>
      </c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>
      <c r="A12" s="174" t="str">
        <f>'B Financial'!A58</f>
        <v>Legal</v>
      </c>
      <c r="B12" s="783">
        <f>'B Financial'!C58</f>
        <v>700000</v>
      </c>
      <c r="C12" s="791"/>
      <c r="D12" s="791"/>
      <c r="E12" s="784">
        <f>$B12/7</f>
        <v>100000</v>
      </c>
      <c r="F12" s="784">
        <f t="shared" ref="F12:J12" si="16">$B12/7</f>
        <v>100000</v>
      </c>
      <c r="G12" s="784">
        <f t="shared" si="16"/>
        <v>100000</v>
      </c>
      <c r="H12" s="784">
        <f t="shared" si="16"/>
        <v>100000</v>
      </c>
      <c r="I12" s="784">
        <f t="shared" si="16"/>
        <v>100000</v>
      </c>
      <c r="J12" s="784">
        <f t="shared" si="16"/>
        <v>100000</v>
      </c>
      <c r="K12" s="784">
        <v>50000</v>
      </c>
      <c r="L12" s="784">
        <v>50000</v>
      </c>
      <c r="M12" s="790"/>
      <c r="N12" s="790"/>
      <c r="O12" s="790"/>
      <c r="P12" s="790"/>
      <c r="Q12" s="790"/>
      <c r="R12" s="790"/>
      <c r="S12" s="790"/>
      <c r="T12" s="790"/>
      <c r="U12" s="790"/>
      <c r="V12" s="790"/>
      <c r="W12" s="786"/>
      <c r="X12" s="786"/>
      <c r="Y12" s="790"/>
      <c r="Z12" s="790"/>
      <c r="AA12" s="790"/>
      <c r="AB12" s="790"/>
      <c r="AC12" s="790"/>
      <c r="AD12" s="790"/>
      <c r="AE12" s="790"/>
      <c r="AF12" s="790"/>
      <c r="AG12" s="790"/>
      <c r="AH12" s="790"/>
      <c r="AI12" s="790"/>
      <c r="AJ12" s="790"/>
      <c r="AK12" s="790"/>
      <c r="AL12" s="790"/>
      <c r="AM12" s="790"/>
      <c r="AN12" s="790"/>
      <c r="AO12" s="790"/>
      <c r="AP12" s="790"/>
      <c r="AQ12" s="790"/>
      <c r="AR12" s="790"/>
      <c r="AS12" s="790"/>
      <c r="AT12" s="790"/>
      <c r="AU12" s="790"/>
      <c r="AV12" s="790"/>
      <c r="AW12" s="790"/>
      <c r="AX12" s="785">
        <f t="shared" si="15"/>
        <v>700000</v>
      </c>
      <c r="AY12" s="785">
        <f t="shared" si="9"/>
        <v>700000</v>
      </c>
      <c r="AZ12" s="785">
        <f t="shared" si="12"/>
        <v>0</v>
      </c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customFormat="1">
      <c r="A13" s="174" t="str">
        <f>'B Financial'!A59</f>
        <v>Land Closing Costs/commissions</v>
      </c>
      <c r="B13" s="783">
        <f>'B Financial'!C59</f>
        <v>86025</v>
      </c>
      <c r="C13" s="788"/>
      <c r="D13" s="784"/>
      <c r="E13" s="784"/>
      <c r="F13" s="784"/>
      <c r="G13" s="250"/>
      <c r="H13" s="784">
        <f>B13</f>
        <v>86025</v>
      </c>
      <c r="I13" s="784"/>
      <c r="J13" s="784"/>
      <c r="K13" s="784"/>
      <c r="L13" s="784"/>
      <c r="M13" s="784"/>
      <c r="N13" s="784"/>
      <c r="O13" s="784"/>
      <c r="P13" s="784"/>
      <c r="Q13" s="784"/>
      <c r="R13" s="784"/>
      <c r="S13" s="784"/>
      <c r="T13" s="784"/>
      <c r="U13" s="784"/>
      <c r="V13" s="784"/>
      <c r="W13" s="784"/>
      <c r="X13" s="784"/>
      <c r="Y13" s="785"/>
      <c r="Z13" s="785"/>
      <c r="AA13" s="785"/>
      <c r="AB13" s="785"/>
      <c r="AC13" s="785"/>
      <c r="AD13" s="785"/>
      <c r="AE13" s="785"/>
      <c r="AF13" s="785"/>
      <c r="AG13" s="785"/>
      <c r="AH13" s="785"/>
      <c r="AI13" s="785"/>
      <c r="AJ13" s="785"/>
      <c r="AK13" s="785"/>
      <c r="AL13" s="785"/>
      <c r="AM13" s="785"/>
      <c r="AN13" s="785"/>
      <c r="AO13" s="785"/>
      <c r="AP13" s="785"/>
      <c r="AQ13" s="785"/>
      <c r="AR13" s="785"/>
      <c r="AS13" s="785"/>
      <c r="AT13" s="785"/>
      <c r="AU13" s="785"/>
      <c r="AV13" s="785"/>
      <c r="AW13" s="785"/>
      <c r="AX13" s="785">
        <f t="shared" si="15"/>
        <v>86025</v>
      </c>
      <c r="AY13" s="785">
        <f t="shared" si="9"/>
        <v>86025</v>
      </c>
      <c r="AZ13" s="785">
        <f t="shared" si="12"/>
        <v>0</v>
      </c>
    </row>
    <row r="14" spans="1:76" customFormat="1">
      <c r="A14" s="174" t="str">
        <f>'B Financial'!A60</f>
        <v>Landscaping</v>
      </c>
      <c r="B14" s="783">
        <f>'B Financial'!C60</f>
        <v>588931.20000000007</v>
      </c>
      <c r="C14" s="788"/>
      <c r="D14" s="784"/>
      <c r="E14" s="784"/>
      <c r="F14" s="784"/>
      <c r="G14" s="250"/>
      <c r="H14" s="784"/>
      <c r="I14" s="784"/>
      <c r="J14" s="784"/>
      <c r="K14" s="784">
        <f>$B$14*K4</f>
        <v>29446.560000000005</v>
      </c>
      <c r="L14" s="784">
        <f t="shared" ref="L14:X14" si="17">$B$14*L4</f>
        <v>29446.560000000005</v>
      </c>
      <c r="M14" s="784">
        <f t="shared" si="17"/>
        <v>29446.560000000005</v>
      </c>
      <c r="N14" s="784">
        <f t="shared" si="17"/>
        <v>29446.560000000005</v>
      </c>
      <c r="O14" s="784">
        <f t="shared" si="17"/>
        <v>70671.744000000006</v>
      </c>
      <c r="P14" s="784">
        <f t="shared" si="17"/>
        <v>70671.744000000006</v>
      </c>
      <c r="Q14" s="784">
        <f t="shared" si="17"/>
        <v>70671.744000000006</v>
      </c>
      <c r="R14" s="784">
        <f t="shared" si="17"/>
        <v>70671.744000000006</v>
      </c>
      <c r="S14" s="784">
        <f t="shared" si="17"/>
        <v>47114.496000000006</v>
      </c>
      <c r="T14" s="784">
        <f t="shared" si="17"/>
        <v>47114.496000000006</v>
      </c>
      <c r="U14" s="784">
        <f t="shared" si="17"/>
        <v>47114.496000000006</v>
      </c>
      <c r="V14" s="784">
        <f t="shared" si="17"/>
        <v>47114.496000000006</v>
      </c>
      <c r="W14" s="784">
        <f t="shared" si="17"/>
        <v>0</v>
      </c>
      <c r="X14" s="784">
        <f t="shared" si="17"/>
        <v>0</v>
      </c>
      <c r="Y14" s="785"/>
      <c r="Z14" s="785"/>
      <c r="AA14" s="785"/>
      <c r="AB14" s="785"/>
      <c r="AC14" s="785"/>
      <c r="AD14" s="785"/>
      <c r="AE14" s="785"/>
      <c r="AF14" s="785"/>
      <c r="AG14" s="785"/>
      <c r="AH14" s="785"/>
      <c r="AI14" s="785"/>
      <c r="AJ14" s="785"/>
      <c r="AK14" s="785"/>
      <c r="AL14" s="785"/>
      <c r="AM14" s="785"/>
      <c r="AN14" s="785"/>
      <c r="AO14" s="785"/>
      <c r="AP14" s="785"/>
      <c r="AQ14" s="785"/>
      <c r="AR14" s="785"/>
      <c r="AS14" s="785"/>
      <c r="AT14" s="785"/>
      <c r="AU14" s="785"/>
      <c r="AV14" s="785"/>
      <c r="AW14" s="785"/>
      <c r="AX14" s="785">
        <f t="shared" ref="AX14" si="18">SUM(C14:AW14)</f>
        <v>588931.20000000007</v>
      </c>
      <c r="AY14" s="785">
        <f t="shared" ref="AY14" si="19">B14</f>
        <v>588931.20000000007</v>
      </c>
      <c r="AZ14" s="785">
        <f t="shared" ref="AZ14" si="20">AY14-AX14</f>
        <v>0</v>
      </c>
    </row>
    <row r="15" spans="1:76" customFormat="1">
      <c r="A15" s="174" t="str">
        <f>'B Financial'!A61</f>
        <v xml:space="preserve">Design </v>
      </c>
      <c r="B15" s="783">
        <f>'B Financial'!C61</f>
        <v>2541517.5</v>
      </c>
      <c r="C15" s="784"/>
      <c r="D15" s="784"/>
      <c r="E15" s="784">
        <f>0.3*$B15</f>
        <v>762455.25</v>
      </c>
      <c r="F15" s="784">
        <f>0.3*$B15</f>
        <v>762455.25</v>
      </c>
      <c r="G15" s="784">
        <f>0.1*$B15</f>
        <v>254151.75</v>
      </c>
      <c r="H15" s="784">
        <f>0.1*$B15</f>
        <v>254151.75</v>
      </c>
      <c r="I15" s="784">
        <f t="shared" ref="I15" si="21">0.1*$B15</f>
        <v>254151.75</v>
      </c>
      <c r="J15" s="784">
        <f>0.05*$B15</f>
        <v>127075.875</v>
      </c>
      <c r="K15" s="784">
        <f>0.05*$B15</f>
        <v>127075.875</v>
      </c>
      <c r="L15" s="784"/>
      <c r="M15" s="784"/>
      <c r="N15" s="784"/>
      <c r="O15" s="784"/>
      <c r="P15" s="784"/>
      <c r="Q15" s="784"/>
      <c r="R15" s="784"/>
      <c r="S15" s="784"/>
      <c r="T15" s="784"/>
      <c r="U15" s="784"/>
      <c r="V15" s="784"/>
      <c r="W15" s="784"/>
      <c r="X15" s="784"/>
      <c r="Y15" s="785"/>
      <c r="Z15" s="785"/>
      <c r="AA15" s="785"/>
      <c r="AB15" s="785"/>
      <c r="AC15" s="785"/>
      <c r="AD15" s="785"/>
      <c r="AE15" s="785"/>
      <c r="AF15" s="785"/>
      <c r="AG15" s="785"/>
      <c r="AH15" s="785"/>
      <c r="AI15" s="785"/>
      <c r="AJ15" s="785"/>
      <c r="AK15" s="785"/>
      <c r="AL15" s="785"/>
      <c r="AM15" s="785"/>
      <c r="AN15" s="785"/>
      <c r="AO15" s="785"/>
      <c r="AP15" s="785"/>
      <c r="AQ15" s="785"/>
      <c r="AR15" s="785"/>
      <c r="AS15" s="785"/>
      <c r="AT15" s="785"/>
      <c r="AU15" s="785"/>
      <c r="AV15" s="785"/>
      <c r="AW15" s="785"/>
      <c r="AX15" s="785">
        <f t="shared" si="15"/>
        <v>2541517.5</v>
      </c>
      <c r="AY15" s="785">
        <f t="shared" si="9"/>
        <v>2541517.5</v>
      </c>
      <c r="AZ15" s="785">
        <f t="shared" si="12"/>
        <v>0</v>
      </c>
    </row>
    <row r="16" spans="1:76" customFormat="1">
      <c r="A16" s="174" t="str">
        <f>'B Financial'!A62</f>
        <v>Developer Fee</v>
      </c>
      <c r="B16" s="783">
        <f>'B Financial'!C62</f>
        <v>3113970.6111600003</v>
      </c>
      <c r="C16" s="784">
        <f>$B16*C$4</f>
        <v>0</v>
      </c>
      <c r="D16" s="784">
        <f t="shared" ref="D16:G16" si="22">$B16*D4</f>
        <v>0</v>
      </c>
      <c r="E16" s="784">
        <f t="shared" si="22"/>
        <v>0</v>
      </c>
      <c r="F16" s="784">
        <f t="shared" si="22"/>
        <v>0</v>
      </c>
      <c r="G16" s="784">
        <f t="shared" si="22"/>
        <v>0</v>
      </c>
      <c r="H16" s="784"/>
      <c r="I16" s="784"/>
      <c r="J16" s="784"/>
      <c r="K16" s="784">
        <f>$B16/12</f>
        <v>259497.55093000003</v>
      </c>
      <c r="L16" s="784">
        <f t="shared" ref="L16:V17" si="23">$B16/12</f>
        <v>259497.55093000003</v>
      </c>
      <c r="M16" s="784">
        <f t="shared" si="23"/>
        <v>259497.55093000003</v>
      </c>
      <c r="N16" s="784">
        <f t="shared" si="23"/>
        <v>259497.55093000003</v>
      </c>
      <c r="O16" s="784">
        <f t="shared" si="23"/>
        <v>259497.55093000003</v>
      </c>
      <c r="P16" s="784">
        <f t="shared" si="23"/>
        <v>259497.55093000003</v>
      </c>
      <c r="Q16" s="784">
        <f t="shared" si="23"/>
        <v>259497.55093000003</v>
      </c>
      <c r="R16" s="784">
        <f t="shared" si="23"/>
        <v>259497.55093000003</v>
      </c>
      <c r="S16" s="784">
        <f t="shared" si="23"/>
        <v>259497.55093000003</v>
      </c>
      <c r="T16" s="784">
        <f t="shared" si="23"/>
        <v>259497.55093000003</v>
      </c>
      <c r="U16" s="784">
        <f t="shared" si="23"/>
        <v>259497.55093000003</v>
      </c>
      <c r="V16" s="784">
        <f t="shared" si="23"/>
        <v>259497.55093000003</v>
      </c>
      <c r="W16" s="784"/>
      <c r="X16" s="784"/>
      <c r="Y16" s="785"/>
      <c r="Z16" s="785"/>
      <c r="AA16" s="785"/>
      <c r="AB16" s="785"/>
      <c r="AC16" s="785"/>
      <c r="AD16" s="785"/>
      <c r="AE16" s="785"/>
      <c r="AF16" s="785"/>
      <c r="AG16" s="785"/>
      <c r="AH16" s="785"/>
      <c r="AI16" s="785"/>
      <c r="AJ16" s="785"/>
      <c r="AK16" s="785"/>
      <c r="AL16" s="785"/>
      <c r="AM16" s="785"/>
      <c r="AN16" s="785"/>
      <c r="AO16" s="785"/>
      <c r="AP16" s="785"/>
      <c r="AQ16" s="785"/>
      <c r="AR16" s="785"/>
      <c r="AS16" s="785"/>
      <c r="AT16" s="785"/>
      <c r="AU16" s="785"/>
      <c r="AV16" s="785"/>
      <c r="AW16" s="785"/>
      <c r="AX16" s="785">
        <f t="shared" si="15"/>
        <v>3113970.6111599994</v>
      </c>
      <c r="AY16" s="785">
        <f t="shared" si="9"/>
        <v>3113970.6111600003</v>
      </c>
      <c r="AZ16" s="785">
        <f t="shared" si="12"/>
        <v>0</v>
      </c>
    </row>
    <row r="17" spans="1:52" customFormat="1">
      <c r="A17" s="174" t="str">
        <f>'B Financial'!A63</f>
        <v>Construction Management Fee</v>
      </c>
      <c r="B17" s="783">
        <f>'B Financial'!C63</f>
        <v>1694345</v>
      </c>
      <c r="C17" s="784">
        <f>$B17*C$4</f>
        <v>0</v>
      </c>
      <c r="D17" s="784">
        <f t="shared" ref="D17:G17" si="24">$B17*D$4</f>
        <v>0</v>
      </c>
      <c r="E17" s="784">
        <f t="shared" si="24"/>
        <v>0</v>
      </c>
      <c r="F17" s="784">
        <f t="shared" si="24"/>
        <v>0</v>
      </c>
      <c r="G17" s="784">
        <f t="shared" si="24"/>
        <v>0</v>
      </c>
      <c r="H17" s="784"/>
      <c r="I17" s="784"/>
      <c r="J17" s="784"/>
      <c r="K17" s="784">
        <f>$B17/12</f>
        <v>141195.41666666666</v>
      </c>
      <c r="L17" s="784">
        <f t="shared" si="23"/>
        <v>141195.41666666666</v>
      </c>
      <c r="M17" s="784">
        <f t="shared" si="23"/>
        <v>141195.41666666666</v>
      </c>
      <c r="N17" s="784">
        <f t="shared" si="23"/>
        <v>141195.41666666666</v>
      </c>
      <c r="O17" s="784">
        <f t="shared" si="23"/>
        <v>141195.41666666666</v>
      </c>
      <c r="P17" s="784">
        <f t="shared" si="23"/>
        <v>141195.41666666666</v>
      </c>
      <c r="Q17" s="784">
        <f t="shared" si="23"/>
        <v>141195.41666666666</v>
      </c>
      <c r="R17" s="784">
        <f t="shared" si="23"/>
        <v>141195.41666666666</v>
      </c>
      <c r="S17" s="784">
        <f t="shared" si="23"/>
        <v>141195.41666666666</v>
      </c>
      <c r="T17" s="784">
        <f t="shared" si="23"/>
        <v>141195.41666666666</v>
      </c>
      <c r="U17" s="784">
        <f t="shared" si="23"/>
        <v>141195.41666666666</v>
      </c>
      <c r="V17" s="784">
        <f t="shared" si="23"/>
        <v>141195.41666666666</v>
      </c>
      <c r="W17" s="784"/>
      <c r="X17" s="784"/>
      <c r="Y17" s="785"/>
      <c r="Z17" s="785"/>
      <c r="AA17" s="785"/>
      <c r="AB17" s="785"/>
      <c r="AC17" s="785"/>
      <c r="AD17" s="785"/>
      <c r="AE17" s="785"/>
      <c r="AF17" s="785"/>
      <c r="AG17" s="785"/>
      <c r="AH17" s="785"/>
      <c r="AI17" s="785"/>
      <c r="AJ17" s="785"/>
      <c r="AK17" s="785"/>
      <c r="AL17" s="785"/>
      <c r="AM17" s="785"/>
      <c r="AN17" s="785"/>
      <c r="AO17" s="785"/>
      <c r="AP17" s="785"/>
      <c r="AQ17" s="785"/>
      <c r="AR17" s="785"/>
      <c r="AS17" s="785"/>
      <c r="AT17" s="785"/>
      <c r="AU17" s="785"/>
      <c r="AV17" s="785"/>
      <c r="AW17" s="785"/>
      <c r="AX17" s="785">
        <f t="shared" si="15"/>
        <v>1694345.0000000002</v>
      </c>
      <c r="AY17" s="785">
        <f t="shared" si="9"/>
        <v>1694345</v>
      </c>
      <c r="AZ17" s="785">
        <f t="shared" si="12"/>
        <v>0</v>
      </c>
    </row>
    <row r="18" spans="1:52" customFormat="1">
      <c r="A18" s="174" t="str">
        <f>'B Financial'!A64</f>
        <v>Taxes</v>
      </c>
      <c r="B18" s="783">
        <f>'B Financial'!C64</f>
        <v>305857.71323076927</v>
      </c>
      <c r="C18" s="788"/>
      <c r="D18" s="784"/>
      <c r="E18" s="784"/>
      <c r="F18" s="784"/>
      <c r="G18" s="787"/>
      <c r="H18" s="784">
        <f>$B18/6</f>
        <v>50976.285538461547</v>
      </c>
      <c r="I18" s="784"/>
      <c r="J18" s="784"/>
      <c r="K18" s="784"/>
      <c r="L18" s="784">
        <f>$B18/6</f>
        <v>50976.285538461547</v>
      </c>
      <c r="M18" s="784"/>
      <c r="N18" s="784">
        <f>$B18/6</f>
        <v>50976.285538461547</v>
      </c>
      <c r="O18" s="784"/>
      <c r="P18" s="784">
        <f>$B18/6</f>
        <v>50976.285538461547</v>
      </c>
      <c r="Q18" s="784"/>
      <c r="R18" s="784">
        <f>$B18/6</f>
        <v>50976.285538461547</v>
      </c>
      <c r="S18" s="250"/>
      <c r="T18" s="784">
        <f>$B18/6</f>
        <v>50976.285538461547</v>
      </c>
      <c r="U18" s="250"/>
      <c r="V18" s="784"/>
      <c r="W18" s="784"/>
      <c r="X18" s="784"/>
      <c r="Y18" s="785"/>
      <c r="Z18" s="785"/>
      <c r="AA18" s="785"/>
      <c r="AB18" s="785"/>
      <c r="AC18" s="785"/>
      <c r="AD18" s="785"/>
      <c r="AE18" s="785"/>
      <c r="AF18" s="785"/>
      <c r="AG18" s="785"/>
      <c r="AH18" s="785"/>
      <c r="AI18" s="785"/>
      <c r="AJ18" s="785"/>
      <c r="AK18" s="785"/>
      <c r="AL18" s="785"/>
      <c r="AM18" s="785"/>
      <c r="AN18" s="785"/>
      <c r="AO18" s="785"/>
      <c r="AP18" s="785"/>
      <c r="AQ18" s="785"/>
      <c r="AR18" s="785"/>
      <c r="AS18" s="785"/>
      <c r="AT18" s="785"/>
      <c r="AU18" s="18"/>
      <c r="AV18" s="785"/>
      <c r="AW18" s="785"/>
      <c r="AX18" s="785">
        <f t="shared" si="15"/>
        <v>305857.71323076927</v>
      </c>
      <c r="AY18" s="785">
        <f t="shared" si="9"/>
        <v>305857.71323076927</v>
      </c>
      <c r="AZ18" s="785">
        <f t="shared" si="12"/>
        <v>0</v>
      </c>
    </row>
    <row r="19" spans="1:52" customFormat="1">
      <c r="A19" s="174" t="str">
        <f>'B Financial'!A65</f>
        <v>Insurance</v>
      </c>
      <c r="B19" s="783">
        <f>'B Financial'!C65</f>
        <v>1411600.0000000002</v>
      </c>
      <c r="C19" s="788"/>
      <c r="D19" s="787"/>
      <c r="E19" s="787"/>
      <c r="F19" s="784"/>
      <c r="G19" s="784"/>
      <c r="H19" s="784"/>
      <c r="I19" s="784"/>
      <c r="J19" s="784"/>
      <c r="K19" s="784">
        <v>10000</v>
      </c>
      <c r="L19" s="784">
        <v>10000</v>
      </c>
      <c r="M19" s="784"/>
      <c r="N19" s="788">
        <f>$B19-SUM(C19:M19)</f>
        <v>1391600.0000000002</v>
      </c>
      <c r="O19" s="784"/>
      <c r="P19" s="784"/>
      <c r="Q19" s="784"/>
      <c r="R19" s="784"/>
      <c r="S19" s="784"/>
      <c r="T19" s="784"/>
      <c r="U19" s="784"/>
      <c r="V19" s="250"/>
      <c r="W19" s="784"/>
      <c r="X19" s="784">
        <f>$B19-SUM(C19:W19)</f>
        <v>0</v>
      </c>
      <c r="Y19" s="785"/>
      <c r="Z19" s="785"/>
      <c r="AA19" s="785"/>
      <c r="AB19" s="785"/>
      <c r="AC19" s="785"/>
      <c r="AD19" s="785"/>
      <c r="AE19" s="785"/>
      <c r="AF19" s="785"/>
      <c r="AG19" s="785"/>
      <c r="AH19" s="785"/>
      <c r="AI19" s="785"/>
      <c r="AJ19" s="785"/>
      <c r="AK19" s="785"/>
      <c r="AL19" s="785"/>
      <c r="AM19" s="785"/>
      <c r="AN19" s="785"/>
      <c r="AO19" s="785"/>
      <c r="AP19" s="785"/>
      <c r="AQ19" s="785"/>
      <c r="AR19" s="785"/>
      <c r="AS19" s="785"/>
      <c r="AT19" s="785"/>
      <c r="AU19" s="785"/>
      <c r="AV19" s="785"/>
      <c r="AW19" s="785"/>
      <c r="AX19" s="785">
        <f t="shared" si="15"/>
        <v>1411600.0000000002</v>
      </c>
      <c r="AY19" s="785">
        <f t="shared" si="9"/>
        <v>1411600.0000000002</v>
      </c>
      <c r="AZ19" s="785">
        <f t="shared" si="12"/>
        <v>0</v>
      </c>
    </row>
    <row r="20" spans="1:52" customFormat="1">
      <c r="A20" s="174" t="str">
        <f>'B Financial'!A66</f>
        <v>Marketing, FFE and Preleasing</v>
      </c>
      <c r="B20" s="783">
        <f>'B Financial'!C66</f>
        <v>200000</v>
      </c>
      <c r="C20" s="788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/>
      <c r="U20" s="784">
        <f>$B20/2</f>
        <v>100000</v>
      </c>
      <c r="V20" s="784">
        <f>$B20/2</f>
        <v>100000</v>
      </c>
      <c r="W20" s="784"/>
      <c r="X20" s="784"/>
      <c r="Y20" s="785"/>
      <c r="Z20" s="785"/>
      <c r="AA20" s="785"/>
      <c r="AB20" s="785"/>
      <c r="AC20" s="785"/>
      <c r="AD20" s="785"/>
      <c r="AE20" s="785"/>
      <c r="AF20" s="785"/>
      <c r="AG20" s="785"/>
      <c r="AH20" s="785"/>
      <c r="AI20" s="785"/>
      <c r="AJ20" s="785"/>
      <c r="AK20" s="785"/>
      <c r="AL20" s="785"/>
      <c r="AM20" s="785"/>
      <c r="AN20" s="785"/>
      <c r="AO20" s="785"/>
      <c r="AP20" s="785"/>
      <c r="AQ20" s="785"/>
      <c r="AR20" s="785"/>
      <c r="AS20" s="785"/>
      <c r="AT20" s="785"/>
      <c r="AU20" s="544"/>
      <c r="AV20" s="544"/>
      <c r="AW20" s="544"/>
      <c r="AX20" s="785">
        <f t="shared" si="15"/>
        <v>200000</v>
      </c>
      <c r="AY20" s="785">
        <f t="shared" si="9"/>
        <v>200000</v>
      </c>
      <c r="AZ20" s="785">
        <f t="shared" si="12"/>
        <v>0</v>
      </c>
    </row>
    <row r="21" spans="1:52" customFormat="1">
      <c r="A21" s="174" t="str">
        <f>'B Financial'!A67</f>
        <v>Operating Deficit</v>
      </c>
      <c r="B21" s="783">
        <f>'B Financial'!C67</f>
        <v>104796</v>
      </c>
      <c r="C21" s="788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94">
        <f t="shared" ref="U21:V21" si="25">$B21/2</f>
        <v>52398</v>
      </c>
      <c r="V21" s="794">
        <f t="shared" si="25"/>
        <v>52398</v>
      </c>
      <c r="W21" s="794"/>
      <c r="X21" s="794"/>
      <c r="Y21" s="544"/>
      <c r="Z21" s="544"/>
      <c r="AA21" s="544"/>
      <c r="AB21" s="544"/>
      <c r="AC21" s="544"/>
      <c r="AD21" s="544"/>
      <c r="AE21" s="544"/>
      <c r="AF21" s="544"/>
      <c r="AG21" s="544"/>
      <c r="AH21" s="544"/>
      <c r="AI21" s="544"/>
      <c r="AJ21" s="544"/>
      <c r="AK21" s="544"/>
      <c r="AL21" s="544"/>
      <c r="AM21" s="544"/>
      <c r="AN21" s="544"/>
      <c r="AO21" s="544"/>
      <c r="AP21" s="544"/>
      <c r="AQ21" s="544"/>
      <c r="AR21" s="544"/>
      <c r="AS21" s="785"/>
      <c r="AT21" s="785"/>
      <c r="AU21" s="785"/>
      <c r="AV21" s="785"/>
      <c r="AW21" s="795"/>
      <c r="AX21" s="785">
        <f t="shared" si="15"/>
        <v>104796</v>
      </c>
      <c r="AY21" s="785">
        <f t="shared" si="9"/>
        <v>104796</v>
      </c>
      <c r="AZ21" s="785">
        <f t="shared" si="12"/>
        <v>0</v>
      </c>
    </row>
    <row r="22" spans="1:52" customFormat="1">
      <c r="A22" s="174" t="str">
        <f>'B Financial'!A68</f>
        <v>Retail Tenant Improvements</v>
      </c>
      <c r="B22" s="783">
        <f>'B Financial'!C68</f>
        <v>0</v>
      </c>
      <c r="C22" s="788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/>
      <c r="T22" s="784"/>
      <c r="U22" s="784">
        <f>$B22/2</f>
        <v>0</v>
      </c>
      <c r="V22" s="784">
        <f>$B22/2</f>
        <v>0</v>
      </c>
      <c r="W22" s="784"/>
      <c r="X22" s="784"/>
      <c r="Y22" s="785"/>
      <c r="Z22" s="785"/>
      <c r="AA22" s="785"/>
      <c r="AB22" s="785"/>
      <c r="AC22" s="785"/>
      <c r="AD22" s="785"/>
      <c r="AE22" s="785"/>
      <c r="AF22" s="785"/>
      <c r="AG22" s="785"/>
      <c r="AH22" s="785"/>
      <c r="AI22" s="785"/>
      <c r="AJ22" s="785"/>
      <c r="AK22" s="785"/>
      <c r="AL22" s="785"/>
      <c r="AM22" s="785"/>
      <c r="AN22" s="785"/>
      <c r="AO22" s="785"/>
      <c r="AP22" s="785"/>
      <c r="AQ22" s="785"/>
      <c r="AR22" s="785"/>
      <c r="AS22" s="785"/>
      <c r="AT22" s="785"/>
      <c r="AU22" s="785"/>
      <c r="AV22" s="785"/>
      <c r="AW22" s="785"/>
      <c r="AX22" s="785">
        <f t="shared" si="15"/>
        <v>0</v>
      </c>
      <c r="AY22" s="785">
        <f t="shared" si="9"/>
        <v>0</v>
      </c>
      <c r="AZ22" s="785">
        <f t="shared" si="12"/>
        <v>0</v>
      </c>
    </row>
    <row r="23" spans="1:52" customFormat="1">
      <c r="A23" s="174" t="str">
        <f>'B Financial'!A69</f>
        <v>Retail brokerage</v>
      </c>
      <c r="B23" s="783">
        <f>'B Financial'!C69</f>
        <v>0</v>
      </c>
      <c r="C23" s="788"/>
      <c r="D23" s="784"/>
      <c r="E23" s="784"/>
      <c r="F23" s="784"/>
      <c r="G23" s="784"/>
      <c r="H23" s="784"/>
      <c r="I23" s="784"/>
      <c r="J23" s="784"/>
      <c r="K23" s="784"/>
      <c r="L23" s="784"/>
      <c r="M23" s="784"/>
      <c r="N23" s="784"/>
      <c r="O23" s="784"/>
      <c r="P23" s="784"/>
      <c r="Q23" s="784"/>
      <c r="R23" s="784"/>
      <c r="S23" s="784"/>
      <c r="T23" s="784"/>
      <c r="U23" s="784"/>
      <c r="V23" s="784"/>
      <c r="W23" s="784">
        <f>$B23</f>
        <v>0</v>
      </c>
      <c r="X23" s="784"/>
      <c r="Y23" s="785"/>
      <c r="Z23" s="785"/>
      <c r="AA23" s="785"/>
      <c r="AB23" s="785"/>
      <c r="AC23" s="785"/>
      <c r="AD23" s="785"/>
      <c r="AE23" s="785"/>
      <c r="AF23" s="785"/>
      <c r="AG23" s="785"/>
      <c r="AH23" s="785"/>
      <c r="AI23" s="785"/>
      <c r="AJ23" s="785"/>
      <c r="AK23" s="785"/>
      <c r="AL23" s="785"/>
      <c r="AM23" s="785"/>
      <c r="AN23" s="785"/>
      <c r="AO23" s="785"/>
      <c r="AP23" s="785"/>
      <c r="AQ23" s="785"/>
      <c r="AR23" s="785"/>
      <c r="AS23" s="785"/>
      <c r="AT23" s="785"/>
      <c r="AU23" s="785"/>
      <c r="AV23" s="785"/>
      <c r="AW23" s="785"/>
      <c r="AX23" s="785">
        <f t="shared" si="15"/>
        <v>0</v>
      </c>
      <c r="AY23" s="785">
        <f t="shared" si="9"/>
        <v>0</v>
      </c>
      <c r="AZ23" s="785">
        <f t="shared" si="12"/>
        <v>0</v>
      </c>
    </row>
    <row r="24" spans="1:52" customFormat="1">
      <c r="A24" s="174" t="str">
        <f>'B Financial'!A70</f>
        <v>Construction Loan Origination</v>
      </c>
      <c r="B24" s="783">
        <f>'B Financial'!C70</f>
        <v>1197870.199339516</v>
      </c>
      <c r="C24" s="784">
        <f>$B$24*C4</f>
        <v>0</v>
      </c>
      <c r="D24" s="784">
        <f>$B$24*D4</f>
        <v>0</v>
      </c>
      <c r="E24" s="784">
        <v>0</v>
      </c>
      <c r="F24" s="784">
        <v>0</v>
      </c>
      <c r="G24" s="784">
        <v>0</v>
      </c>
      <c r="H24" s="784">
        <v>0</v>
      </c>
      <c r="I24" s="784"/>
      <c r="J24" s="784"/>
      <c r="K24" s="784">
        <f>$B24</f>
        <v>1197870.199339516</v>
      </c>
      <c r="L24" s="784">
        <v>0</v>
      </c>
      <c r="M24" s="784"/>
      <c r="N24" s="784">
        <v>0</v>
      </c>
      <c r="O24" s="250"/>
      <c r="P24" s="784">
        <v>0</v>
      </c>
      <c r="Q24" s="784">
        <v>0</v>
      </c>
      <c r="R24" s="250"/>
      <c r="S24" s="784"/>
      <c r="T24" s="784"/>
      <c r="U24" s="784"/>
      <c r="V24" s="784"/>
      <c r="W24" s="784"/>
      <c r="X24" s="784"/>
      <c r="Y24" s="785"/>
      <c r="Z24" s="785"/>
      <c r="AA24" s="785"/>
      <c r="AB24" s="785"/>
      <c r="AC24" s="785"/>
      <c r="AD24" s="785"/>
      <c r="AE24" s="785"/>
      <c r="AF24" s="785"/>
      <c r="AG24" s="785"/>
      <c r="AH24" s="785"/>
      <c r="AI24" s="785"/>
      <c r="AJ24" s="785"/>
      <c r="AK24" s="785"/>
      <c r="AL24" s="785"/>
      <c r="AM24" s="785"/>
      <c r="AN24" s="785"/>
      <c r="AO24" s="785"/>
      <c r="AP24" s="785"/>
      <c r="AQ24" s="785"/>
      <c r="AR24" s="785"/>
      <c r="AS24" s="18"/>
      <c r="AT24" s="18"/>
      <c r="AU24" s="785"/>
      <c r="AV24" s="785"/>
      <c r="AW24" s="785"/>
      <c r="AX24" s="785">
        <f t="shared" si="15"/>
        <v>1197870.199339516</v>
      </c>
      <c r="AY24" s="785">
        <f t="shared" si="9"/>
        <v>1197870.199339516</v>
      </c>
      <c r="AZ24" s="785">
        <f t="shared" si="12"/>
        <v>0</v>
      </c>
    </row>
    <row r="25" spans="1:52" customFormat="1">
      <c r="A25" s="174" t="str">
        <f>'B Financial'!A71</f>
        <v>Construction Interest</v>
      </c>
      <c r="B25" s="783">
        <f>'B Financial'!C71</f>
        <v>5590060.930251075</v>
      </c>
      <c r="C25" s="796"/>
      <c r="D25" s="784"/>
      <c r="E25" s="784"/>
      <c r="F25" s="784"/>
      <c r="G25" s="784"/>
      <c r="H25" s="784"/>
      <c r="I25" s="784"/>
      <c r="J25" s="784"/>
      <c r="K25" s="784"/>
      <c r="L25" s="784"/>
      <c r="M25" s="784"/>
      <c r="N25" s="784"/>
      <c r="O25" s="784"/>
      <c r="P25" s="784">
        <f>$B25/20</f>
        <v>279503.04651255376</v>
      </c>
      <c r="Q25" s="784">
        <f t="shared" ref="Q25:R25" si="26">$B25/20</f>
        <v>279503.04651255376</v>
      </c>
      <c r="R25" s="784">
        <f t="shared" si="26"/>
        <v>279503.04651255376</v>
      </c>
      <c r="S25" s="784">
        <f>$B25/15</f>
        <v>372670.72868340497</v>
      </c>
      <c r="T25" s="784">
        <f>$B25/10</f>
        <v>559006.09302510752</v>
      </c>
      <c r="U25" s="784">
        <f>$B25/8</f>
        <v>698757.61628138437</v>
      </c>
      <c r="V25" s="784">
        <f>$B25/7</f>
        <v>798580.13289301074</v>
      </c>
      <c r="W25" s="784">
        <f>$B25/6</f>
        <v>931676.82170851249</v>
      </c>
      <c r="X25" s="784">
        <f>B25-SUM(M25:W25)</f>
        <v>1390860.3981219931</v>
      </c>
      <c r="Y25" s="785"/>
      <c r="Z25" s="785"/>
      <c r="AA25" s="785"/>
      <c r="AB25" s="785"/>
      <c r="AC25" s="785"/>
      <c r="AD25" s="785"/>
      <c r="AE25" s="785"/>
      <c r="AF25" s="785"/>
      <c r="AG25" s="785"/>
      <c r="AH25" s="785"/>
      <c r="AI25" s="785"/>
      <c r="AJ25" s="785"/>
      <c r="AK25" s="785"/>
      <c r="AL25" s="785"/>
      <c r="AM25" s="785"/>
      <c r="AN25" s="785"/>
      <c r="AO25" s="785"/>
      <c r="AP25" s="785"/>
      <c r="AQ25" s="785"/>
      <c r="AR25" s="785"/>
      <c r="AS25" s="785"/>
      <c r="AT25" s="785"/>
      <c r="AU25" s="785"/>
      <c r="AV25" s="785"/>
      <c r="AW25" s="785"/>
      <c r="AX25" s="785">
        <f t="shared" si="15"/>
        <v>5590060.930251075</v>
      </c>
      <c r="AY25" s="785">
        <f t="shared" si="9"/>
        <v>5590060.930251075</v>
      </c>
      <c r="AZ25" s="785">
        <f t="shared" si="12"/>
        <v>0</v>
      </c>
    </row>
    <row r="26" spans="1:52" customFormat="1" ht="15" thickBot="1">
      <c r="A26" s="174" t="str">
        <f>'B Financial'!A72</f>
        <v>Additional Contingency</v>
      </c>
      <c r="B26" s="797">
        <f>'B Financial'!C72</f>
        <v>2935438.0206495342</v>
      </c>
      <c r="C26" s="798">
        <v>0</v>
      </c>
      <c r="D26" s="798">
        <v>0</v>
      </c>
      <c r="E26" s="798">
        <v>0</v>
      </c>
      <c r="F26" s="798"/>
      <c r="G26" s="798">
        <v>0</v>
      </c>
      <c r="H26" s="798">
        <v>0</v>
      </c>
      <c r="I26" s="798"/>
      <c r="J26" s="798"/>
      <c r="K26" s="798">
        <f t="shared" ref="K26:U26" si="27">$B26/12</f>
        <v>244619.83505412785</v>
      </c>
      <c r="L26" s="798">
        <f t="shared" si="27"/>
        <v>244619.83505412785</v>
      </c>
      <c r="M26" s="798">
        <f t="shared" si="27"/>
        <v>244619.83505412785</v>
      </c>
      <c r="N26" s="798">
        <f t="shared" si="27"/>
        <v>244619.83505412785</v>
      </c>
      <c r="O26" s="798">
        <f t="shared" si="27"/>
        <v>244619.83505412785</v>
      </c>
      <c r="P26" s="798">
        <f t="shared" si="27"/>
        <v>244619.83505412785</v>
      </c>
      <c r="Q26" s="798">
        <f t="shared" si="27"/>
        <v>244619.83505412785</v>
      </c>
      <c r="R26" s="798">
        <f t="shared" si="27"/>
        <v>244619.83505412785</v>
      </c>
      <c r="S26" s="798">
        <f t="shared" si="27"/>
        <v>244619.83505412785</v>
      </c>
      <c r="T26" s="798">
        <f t="shared" si="27"/>
        <v>244619.83505412785</v>
      </c>
      <c r="U26" s="798">
        <f t="shared" si="27"/>
        <v>244619.83505412785</v>
      </c>
      <c r="V26" s="798">
        <f>$B26/12</f>
        <v>244619.83505412785</v>
      </c>
      <c r="W26" s="798"/>
      <c r="X26" s="798"/>
      <c r="Y26" s="799"/>
      <c r="Z26" s="799"/>
      <c r="AA26" s="799"/>
      <c r="AB26" s="799"/>
      <c r="AC26" s="799"/>
      <c r="AD26" s="799"/>
      <c r="AE26" s="799"/>
      <c r="AF26" s="799"/>
      <c r="AG26" s="799"/>
      <c r="AH26" s="799"/>
      <c r="AI26" s="799"/>
      <c r="AJ26" s="799"/>
      <c r="AK26" s="799"/>
      <c r="AL26" s="799"/>
      <c r="AM26" s="799"/>
      <c r="AN26" s="799"/>
      <c r="AO26" s="799"/>
      <c r="AP26" s="799"/>
      <c r="AQ26" s="799"/>
      <c r="AR26" s="799"/>
      <c r="AS26" s="799"/>
      <c r="AT26" s="799"/>
      <c r="AU26" s="799"/>
      <c r="AV26" s="799"/>
      <c r="AW26" s="799"/>
      <c r="AX26" s="799">
        <f t="shared" si="15"/>
        <v>2935438.0206495351</v>
      </c>
      <c r="AY26" s="799">
        <f t="shared" si="9"/>
        <v>2935438.0206495342</v>
      </c>
      <c r="AZ26" s="785">
        <f t="shared" si="12"/>
        <v>0</v>
      </c>
    </row>
    <row r="27" spans="1:52" customFormat="1" ht="15.6" thickTop="1" thickBot="1">
      <c r="A27" s="174" t="str">
        <f>'B Financial'!A73</f>
        <v>Total Project Cost</v>
      </c>
      <c r="B27" s="167">
        <f t="shared" ref="B27:X27" si="28">SUM(B5:B26)</f>
        <v>120352958.8466309</v>
      </c>
      <c r="C27" s="172">
        <f t="shared" si="28"/>
        <v>0</v>
      </c>
      <c r="D27" s="172">
        <f t="shared" si="28"/>
        <v>0</v>
      </c>
      <c r="E27" s="172">
        <f t="shared" si="28"/>
        <v>945200.08360000001</v>
      </c>
      <c r="F27" s="172">
        <f t="shared" si="28"/>
        <v>862455.25</v>
      </c>
      <c r="G27" s="172">
        <f t="shared" si="28"/>
        <v>354151.75</v>
      </c>
      <c r="H27" s="172">
        <f t="shared" si="28"/>
        <v>491153.03553846152</v>
      </c>
      <c r="I27" s="172">
        <f t="shared" si="28"/>
        <v>354151.75</v>
      </c>
      <c r="J27" s="172">
        <f t="shared" si="28"/>
        <v>1527075.875</v>
      </c>
      <c r="K27" s="172">
        <f t="shared" si="28"/>
        <v>8520619.7753903102</v>
      </c>
      <c r="L27" s="172">
        <f t="shared" si="28"/>
        <v>5624098.148189256</v>
      </c>
      <c r="M27" s="172">
        <f t="shared" si="28"/>
        <v>5513121.862650794</v>
      </c>
      <c r="N27" s="172">
        <f t="shared" si="28"/>
        <v>6955698.148189256</v>
      </c>
      <c r="O27" s="172">
        <f t="shared" si="28"/>
        <v>12328054.546650795</v>
      </c>
      <c r="P27" s="172">
        <f t="shared" si="28"/>
        <v>12658533.87870181</v>
      </c>
      <c r="Q27" s="172">
        <f t="shared" si="28"/>
        <v>12607557.593163349</v>
      </c>
      <c r="R27" s="172">
        <f t="shared" si="28"/>
        <v>12658533.87870181</v>
      </c>
      <c r="S27" s="172">
        <f t="shared" si="28"/>
        <v>8806478.0273342002</v>
      </c>
      <c r="T27" s="172">
        <f t="shared" si="28"/>
        <v>9098789.6772143636</v>
      </c>
      <c r="U27" s="172">
        <f t="shared" si="28"/>
        <v>9339962.9149321802</v>
      </c>
      <c r="V27" s="172">
        <f t="shared" si="28"/>
        <v>9384785.4315438047</v>
      </c>
      <c r="W27" s="172">
        <f t="shared" si="28"/>
        <v>931676.82170851249</v>
      </c>
      <c r="X27" s="172">
        <f t="shared" si="28"/>
        <v>1390860.3981219931</v>
      </c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69">
        <f>SUM(AX5:AX26)</f>
        <v>120352958.8466309</v>
      </c>
      <c r="AY27" s="168">
        <f>SUM(AY5:AY26)</f>
        <v>120352958.8466309</v>
      </c>
      <c r="AZ27" s="168"/>
    </row>
    <row r="28" spans="1:52" customFormat="1" ht="15" thickTop="1">
      <c r="A28" s="170" t="s">
        <v>360</v>
      </c>
      <c r="B28" s="171">
        <f>'B Financial'!B81</f>
        <v>0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69"/>
      <c r="AY28" s="168"/>
      <c r="AZ28" s="168"/>
    </row>
    <row r="29" spans="1:52" customFormat="1" ht="15" thickBot="1">
      <c r="A29" s="800" t="s">
        <v>361</v>
      </c>
      <c r="B29" s="801">
        <f>B27+B28</f>
        <v>120352958.8466309</v>
      </c>
      <c r="C29" s="793"/>
      <c r="D29" s="793"/>
      <c r="E29" s="793"/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3"/>
      <c r="X29" s="793"/>
      <c r="Y29" s="793"/>
      <c r="Z29" s="793"/>
      <c r="AA29" s="793"/>
      <c r="AB29" s="793"/>
      <c r="AC29" s="793"/>
      <c r="AD29" s="793"/>
      <c r="AE29" s="793"/>
      <c r="AF29" s="793"/>
      <c r="AG29" s="793"/>
      <c r="AH29" s="793"/>
      <c r="AI29" s="793"/>
      <c r="AJ29" s="793"/>
      <c r="AK29" s="793"/>
      <c r="AL29" s="793"/>
      <c r="AM29" s="793"/>
      <c r="AN29" s="793"/>
      <c r="AO29" s="793"/>
      <c r="AP29" s="793"/>
      <c r="AQ29" s="793"/>
      <c r="AR29" s="793"/>
      <c r="AS29" s="793"/>
      <c r="AT29" s="793"/>
      <c r="AU29" s="793"/>
      <c r="AV29" s="793"/>
      <c r="AW29" s="544"/>
      <c r="AX29" s="802"/>
      <c r="AY29" s="802"/>
      <c r="AZ29" s="802"/>
    </row>
    <row r="30" spans="1:52" customFormat="1">
      <c r="A30" s="803" t="s">
        <v>362</v>
      </c>
      <c r="B30" s="804">
        <f>SUM(C30:AW30)</f>
        <v>36105887.653989278</v>
      </c>
      <c r="C30" s="785">
        <f>C27</f>
        <v>0</v>
      </c>
      <c r="D30" s="785">
        <f t="shared" ref="D30:W30" si="29">IF(C31+D27&lt;=$B$31,D27,($B$31-C31))</f>
        <v>0</v>
      </c>
      <c r="E30" s="785">
        <f t="shared" si="29"/>
        <v>945200.08360000001</v>
      </c>
      <c r="F30" s="785">
        <f t="shared" si="29"/>
        <v>862455.25</v>
      </c>
      <c r="G30" s="785">
        <f t="shared" si="29"/>
        <v>354151.75</v>
      </c>
      <c r="H30" s="785">
        <f t="shared" si="29"/>
        <v>491153.03553846152</v>
      </c>
      <c r="I30" s="785">
        <f t="shared" ref="I30" si="30">IF(H31+I27&lt;=$B$31,I27,($B$31-H31))</f>
        <v>354151.75</v>
      </c>
      <c r="J30" s="785">
        <f t="shared" ref="J30" si="31">IF(I31+J27&lt;=$B$31,J27,($B$31-I31))</f>
        <v>1527075.875</v>
      </c>
      <c r="K30" s="785">
        <f>IF(H31+K27&lt;=$B$31,K27,($B$31-H31))</f>
        <v>8520619.7753903102</v>
      </c>
      <c r="L30" s="785">
        <f t="shared" si="29"/>
        <v>5624098.148189256</v>
      </c>
      <c r="M30" s="785">
        <f t="shared" si="29"/>
        <v>5513121.862650794</v>
      </c>
      <c r="N30" s="785">
        <f t="shared" si="29"/>
        <v>6955698.148189256</v>
      </c>
      <c r="O30" s="785">
        <f t="shared" si="29"/>
        <v>4958161.9754311964</v>
      </c>
      <c r="P30" s="785">
        <f t="shared" si="29"/>
        <v>0</v>
      </c>
      <c r="Q30" s="785">
        <f t="shared" si="29"/>
        <v>0</v>
      </c>
      <c r="R30" s="785">
        <f t="shared" si="29"/>
        <v>0</v>
      </c>
      <c r="S30" s="785">
        <f t="shared" si="29"/>
        <v>0</v>
      </c>
      <c r="T30" s="785">
        <f t="shared" si="29"/>
        <v>0</v>
      </c>
      <c r="U30" s="785">
        <f t="shared" si="29"/>
        <v>0</v>
      </c>
      <c r="V30" s="785">
        <f t="shared" si="29"/>
        <v>0</v>
      </c>
      <c r="W30" s="785">
        <f t="shared" si="29"/>
        <v>0</v>
      </c>
      <c r="X30" s="785">
        <f>IF(W31+X27&lt;=$B$31,X27,($B$31-W31))</f>
        <v>0</v>
      </c>
      <c r="Y30" s="785"/>
      <c r="Z30" s="785"/>
      <c r="AA30" s="785"/>
      <c r="AB30" s="785"/>
      <c r="AC30" s="785"/>
      <c r="AD30" s="785"/>
      <c r="AE30" s="785"/>
      <c r="AF30" s="785"/>
      <c r="AG30" s="785"/>
      <c r="AH30" s="785"/>
      <c r="AI30" s="785"/>
      <c r="AJ30" s="785"/>
      <c r="AK30" s="785"/>
      <c r="AL30" s="785"/>
      <c r="AM30" s="785"/>
      <c r="AN30" s="785"/>
      <c r="AO30" s="785"/>
      <c r="AP30" s="785"/>
      <c r="AQ30" s="785"/>
      <c r="AR30" s="785"/>
      <c r="AS30" s="785"/>
      <c r="AT30" s="785"/>
      <c r="AU30" s="785"/>
      <c r="AV30" s="785"/>
      <c r="AW30" s="785"/>
      <c r="AX30" s="805"/>
      <c r="AY30" s="805"/>
      <c r="AZ30" s="805"/>
    </row>
    <row r="31" spans="1:52" customFormat="1" ht="15" thickBot="1">
      <c r="A31" s="174" t="s">
        <v>363</v>
      </c>
      <c r="B31" s="806">
        <f>'B Financial'!B84</f>
        <v>36105887.653989278</v>
      </c>
      <c r="C31" s="785">
        <f>C30</f>
        <v>0</v>
      </c>
      <c r="D31" s="785">
        <f>IF(SUM($C$30:D$30)&lt;=$B31,SUM($C$30:D$30),0)</f>
        <v>0</v>
      </c>
      <c r="E31" s="785">
        <f>IF(SUM($C$30:E30)&lt;=$B31,SUM($C$30:E30),0)</f>
        <v>945200.08360000001</v>
      </c>
      <c r="F31" s="785">
        <f>IF(SUM($C$30:F30)&lt;=$B31,SUM($C$30:F30),0)</f>
        <v>1807655.3336</v>
      </c>
      <c r="G31" s="785">
        <f>IF(SUM($C$30:G30)&lt;=$B31,SUM($C$30:G30),0)</f>
        <v>2161807.0836</v>
      </c>
      <c r="H31" s="785">
        <f>IF(SUM($C$30:H30)&lt;=$B31,SUM($C$30:H30),0)</f>
        <v>2652960.1191384615</v>
      </c>
      <c r="I31" s="785">
        <f>IF(SUM($C$30:I30)&lt;=$B31,SUM($C$30:I30),0)</f>
        <v>3007111.8691384615</v>
      </c>
      <c r="J31" s="785">
        <f>IF(SUM($C$30:J30)&lt;=$B31,SUM($C$30:J30),0)</f>
        <v>4534187.7441384615</v>
      </c>
      <c r="K31" s="785">
        <f>IF(SUM($C$30:K30)&lt;=$B31,SUM($C$30:K30),0)</f>
        <v>13054807.519528773</v>
      </c>
      <c r="L31" s="785">
        <f>IF(SUM($C$30:L30)&lt;=$B31,SUM($C$30:L30),0)</f>
        <v>18678905.667718031</v>
      </c>
      <c r="M31" s="785">
        <f>IF(SUM($C$30:M30)&lt;=$B31,SUM($C$30:M30),0)</f>
        <v>24192027.530368824</v>
      </c>
      <c r="N31" s="785">
        <f>IF(SUM($C$30:N30)&lt;=$B31,SUM($C$30:N30),0)</f>
        <v>31147725.678558081</v>
      </c>
      <c r="O31" s="785">
        <f>IF(SUM($C$30:O30)&lt;=$B31,SUM($C$30:O30),0)</f>
        <v>36105887.653989278</v>
      </c>
      <c r="P31" s="785">
        <f>IF(SUM($C$30:P30)&lt;=$B31,SUM($C$30:P30),0)</f>
        <v>36105887.653989278</v>
      </c>
      <c r="Q31" s="785">
        <f>IF(SUM($C$30:Q30)&lt;=$B31,SUM($C$30:Q30),0)</f>
        <v>36105887.653989278</v>
      </c>
      <c r="R31" s="785">
        <f>IF(SUM($C$30:R30)&lt;=$B31,SUM($C$30:R30),0)</f>
        <v>36105887.653989278</v>
      </c>
      <c r="S31" s="785">
        <f>IF(SUM($C$30:S30)&lt;=$B31,SUM($C$30:S30),0)</f>
        <v>36105887.653989278</v>
      </c>
      <c r="T31" s="785">
        <f>IF(SUM($C$30:T30)&lt;=$B31,SUM($C$30:T30),0)</f>
        <v>36105887.653989278</v>
      </c>
      <c r="U31" s="785">
        <f>IF(SUM($C$30:U30)&lt;=$B31,SUM($C$30:U30),0)</f>
        <v>36105887.653989278</v>
      </c>
      <c r="V31" s="785">
        <f>IF(SUM($C$30:V30)&lt;=$B31,SUM($C$30:V30),0)</f>
        <v>36105887.653989278</v>
      </c>
      <c r="W31" s="785">
        <f>IF(SUM($C$30:W30)&lt;=$B31,SUM($C$30:W30),0)</f>
        <v>36105887.653989278</v>
      </c>
      <c r="X31" s="785">
        <f>IF(SUM($C$30:AR30)&lt;=$B31,SUM($C$30:AR30),0)</f>
        <v>36105887.653989278</v>
      </c>
      <c r="Y31" s="785"/>
      <c r="Z31" s="785"/>
      <c r="AA31" s="785"/>
      <c r="AB31" s="785"/>
      <c r="AC31" s="785"/>
      <c r="AD31" s="785"/>
      <c r="AE31" s="785"/>
      <c r="AF31" s="785"/>
      <c r="AG31" s="785"/>
      <c r="AH31" s="785"/>
      <c r="AI31" s="785"/>
      <c r="AJ31" s="785"/>
      <c r="AK31" s="785"/>
      <c r="AL31" s="785"/>
      <c r="AM31" s="785"/>
      <c r="AN31" s="785"/>
      <c r="AO31" s="785"/>
      <c r="AP31" s="785"/>
      <c r="AQ31" s="785"/>
      <c r="AR31" s="785"/>
      <c r="AS31" s="785"/>
      <c r="AT31" s="785"/>
      <c r="AU31" s="785"/>
      <c r="AV31" s="785"/>
      <c r="AW31" s="785"/>
      <c r="AX31" s="805"/>
      <c r="AY31" s="805"/>
      <c r="AZ31" s="805"/>
    </row>
    <row r="32" spans="1:52" customFormat="1">
      <c r="A32" s="175" t="s">
        <v>364</v>
      </c>
      <c r="B32" s="176">
        <f>'B Financial'!B83</f>
        <v>84247071.192641631</v>
      </c>
      <c r="C32" s="807"/>
      <c r="D32" s="808"/>
      <c r="E32" s="808"/>
      <c r="F32" s="808"/>
      <c r="G32" s="808"/>
      <c r="H32" s="808"/>
      <c r="I32" s="808"/>
      <c r="J32" s="808"/>
      <c r="K32" s="808"/>
      <c r="L32" s="808"/>
      <c r="M32" s="808"/>
      <c r="N32" s="808"/>
      <c r="O32" s="808"/>
      <c r="P32" s="808"/>
      <c r="Q32" s="808"/>
      <c r="R32" s="808"/>
      <c r="S32" s="808"/>
      <c r="T32" s="808"/>
      <c r="U32" s="808"/>
      <c r="V32" s="808"/>
      <c r="W32" s="808"/>
      <c r="X32" s="808"/>
      <c r="Y32" s="808"/>
      <c r="Z32" s="808"/>
      <c r="AA32" s="808"/>
      <c r="AB32" s="808"/>
      <c r="AC32" s="808"/>
      <c r="AD32" s="808"/>
      <c r="AE32" s="808"/>
      <c r="AF32" s="808"/>
      <c r="AG32" s="808"/>
      <c r="AH32" s="808"/>
      <c r="AI32" s="808"/>
      <c r="AJ32" s="808"/>
      <c r="AK32" s="808"/>
      <c r="AL32" s="808"/>
      <c r="AM32" s="808"/>
      <c r="AN32" s="808"/>
      <c r="AO32" s="808"/>
      <c r="AP32" s="808"/>
      <c r="AQ32" s="808"/>
      <c r="AR32" s="808"/>
      <c r="AS32" s="808"/>
      <c r="AT32" s="808"/>
      <c r="AU32" s="808"/>
      <c r="AV32" s="808"/>
      <c r="AW32" s="808"/>
      <c r="AX32" s="807"/>
      <c r="AY32" s="807"/>
      <c r="AZ32" s="805"/>
    </row>
    <row r="33" spans="1:76" customFormat="1" ht="15" thickBot="1">
      <c r="A33" s="809" t="s">
        <v>365</v>
      </c>
      <c r="B33" s="810">
        <f>PMT(0.045,30,(B32))</f>
        <v>-5172057.6860463601</v>
      </c>
      <c r="C33" s="807"/>
      <c r="D33" s="808"/>
      <c r="E33" s="808"/>
      <c r="F33" s="808"/>
      <c r="G33" s="808"/>
      <c r="H33" s="808"/>
      <c r="I33" s="808"/>
      <c r="J33" s="808"/>
      <c r="K33" s="808"/>
      <c r="L33" s="808"/>
      <c r="M33" s="808"/>
      <c r="N33" s="808"/>
      <c r="O33" s="808"/>
      <c r="P33" s="808"/>
      <c r="Q33" s="808"/>
      <c r="R33" s="808"/>
      <c r="S33" s="808"/>
      <c r="T33" s="808"/>
      <c r="U33" s="808"/>
      <c r="V33" s="808"/>
      <c r="W33" s="808"/>
      <c r="X33" s="808"/>
      <c r="Y33" s="808"/>
      <c r="Z33" s="808"/>
      <c r="AA33" s="808"/>
      <c r="AB33" s="808"/>
      <c r="AC33" s="808"/>
      <c r="AD33" s="808"/>
      <c r="AE33" s="808"/>
      <c r="AF33" s="808"/>
      <c r="AG33" s="808"/>
      <c r="AH33" s="808"/>
      <c r="AI33" s="808"/>
      <c r="AJ33" s="808"/>
      <c r="AK33" s="808"/>
      <c r="AL33" s="808"/>
      <c r="AM33" s="808"/>
      <c r="AN33" s="808"/>
      <c r="AO33" s="808"/>
      <c r="AP33" s="808"/>
      <c r="AQ33" s="808"/>
      <c r="AR33" s="808"/>
      <c r="AS33" s="808"/>
      <c r="AT33" s="808"/>
      <c r="AU33" s="808"/>
      <c r="AV33" s="808"/>
      <c r="AW33" s="808"/>
      <c r="AX33" s="807"/>
      <c r="AY33" s="807"/>
      <c r="AZ33" s="805"/>
    </row>
    <row r="34" spans="1:76" customFormat="1">
      <c r="A34" s="177" t="s">
        <v>366</v>
      </c>
      <c r="B34" s="178">
        <f>SUM(C34:AX34)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5"/>
      <c r="M34" s="785"/>
      <c r="N34" s="785"/>
      <c r="O34" s="785"/>
      <c r="P34" s="785"/>
      <c r="Q34" s="785"/>
      <c r="R34" s="785"/>
      <c r="S34" s="785"/>
      <c r="T34" s="785"/>
      <c r="U34" s="785"/>
      <c r="V34" s="785"/>
      <c r="W34" s="785"/>
      <c r="X34" s="785"/>
      <c r="Y34" s="785"/>
      <c r="Z34" s="785"/>
      <c r="AA34" s="785"/>
      <c r="AB34" s="785"/>
      <c r="AC34" s="785"/>
      <c r="AD34" s="785"/>
      <c r="AE34" s="785"/>
      <c r="AF34" s="785"/>
      <c r="AG34" s="785"/>
      <c r="AH34" s="785"/>
      <c r="AI34" s="785"/>
      <c r="AJ34" s="785"/>
      <c r="AK34" s="785"/>
      <c r="AL34" s="785"/>
      <c r="AM34" s="785"/>
      <c r="AN34" s="785"/>
      <c r="AO34" s="785"/>
      <c r="AP34" s="785"/>
      <c r="AQ34" s="785"/>
      <c r="AR34" s="785"/>
      <c r="AS34" s="785"/>
      <c r="AT34" s="785"/>
      <c r="AU34" s="785"/>
      <c r="AV34" s="785"/>
      <c r="AW34" s="785"/>
      <c r="AX34" s="544"/>
      <c r="AY34" s="808"/>
      <c r="AZ34" s="805"/>
    </row>
    <row r="35" spans="1:76" customFormat="1">
      <c r="A35" s="811" t="s">
        <v>367</v>
      </c>
      <c r="B35" s="812"/>
      <c r="C35" s="808"/>
      <c r="D35" s="808"/>
      <c r="E35" s="808"/>
      <c r="F35" s="808"/>
      <c r="G35" s="808"/>
      <c r="H35" s="808"/>
      <c r="I35" s="808"/>
      <c r="J35" s="808"/>
      <c r="K35" s="808"/>
      <c r="L35" s="808"/>
      <c r="M35" s="808"/>
      <c r="N35" s="808"/>
      <c r="O35" s="808"/>
      <c r="P35" s="808"/>
      <c r="Q35" s="808"/>
      <c r="R35" s="808"/>
      <c r="S35" s="808"/>
      <c r="T35" s="808"/>
      <c r="U35" s="808"/>
      <c r="V35" s="808"/>
      <c r="W35" s="808"/>
      <c r="X35" s="808"/>
      <c r="Y35" s="808"/>
      <c r="Z35" s="808"/>
      <c r="AA35" s="808"/>
      <c r="AB35" s="808"/>
      <c r="AC35" s="808"/>
      <c r="AD35" s="808"/>
      <c r="AE35" s="808"/>
      <c r="AF35" s="808"/>
      <c r="AG35" s="808"/>
      <c r="AH35" s="808"/>
      <c r="AI35" s="808"/>
      <c r="AJ35" s="808"/>
      <c r="AK35" s="808"/>
      <c r="AL35" s="808"/>
      <c r="AM35" s="808"/>
      <c r="AN35" s="808"/>
      <c r="AO35" s="808"/>
      <c r="AP35" s="808"/>
      <c r="AQ35" s="808"/>
      <c r="AR35" s="808"/>
      <c r="AS35" s="808"/>
      <c r="AT35" s="808"/>
      <c r="AU35" s="808"/>
      <c r="AV35" s="808"/>
      <c r="AW35" s="808"/>
      <c r="AX35" s="813"/>
      <c r="AY35" s="808"/>
      <c r="AZ35" s="805"/>
    </row>
    <row r="36" spans="1:76" customFormat="1">
      <c r="A36" s="803" t="s">
        <v>368</v>
      </c>
      <c r="B36" s="804">
        <f>'B Financial'!B91-'B Financial'!B83</f>
        <v>-68131987.377257019</v>
      </c>
      <c r="C36" s="813"/>
      <c r="D36" s="814"/>
      <c r="E36" s="814"/>
      <c r="F36" s="814"/>
      <c r="G36" s="814"/>
      <c r="H36" s="814"/>
      <c r="I36" s="814"/>
      <c r="J36" s="814"/>
      <c r="K36" s="814"/>
      <c r="L36" s="814"/>
      <c r="M36" s="814"/>
      <c r="N36" s="814"/>
      <c r="O36" s="814"/>
      <c r="P36" s="814"/>
      <c r="Q36" s="814"/>
      <c r="R36" s="814"/>
      <c r="S36" s="814"/>
      <c r="T36" s="814"/>
      <c r="U36" s="814"/>
      <c r="V36" s="814"/>
      <c r="W36" s="814"/>
      <c r="X36" s="814"/>
      <c r="Y36" s="814"/>
      <c r="Z36" s="814"/>
      <c r="AA36" s="814"/>
      <c r="AB36" s="814"/>
      <c r="AC36" s="814"/>
      <c r="AD36" s="814"/>
      <c r="AE36" s="814"/>
      <c r="AF36" s="814"/>
      <c r="AG36" s="814"/>
      <c r="AH36" s="814"/>
      <c r="AI36" s="814"/>
      <c r="AJ36" s="814"/>
      <c r="AK36" s="814"/>
      <c r="AL36" s="814"/>
      <c r="AM36" s="814"/>
      <c r="AN36" s="814"/>
      <c r="AO36" s="814"/>
      <c r="AP36" s="814"/>
      <c r="AQ36" s="814"/>
      <c r="AR36" s="814"/>
      <c r="AS36" s="814"/>
      <c r="AT36" s="814"/>
      <c r="AU36" s="814"/>
      <c r="AV36" s="814"/>
      <c r="AW36" s="814"/>
      <c r="AX36" s="815"/>
      <c r="AY36" s="816"/>
      <c r="AZ36" s="817"/>
    </row>
    <row r="37" spans="1:76" customFormat="1">
      <c r="A37" s="803" t="s">
        <v>369</v>
      </c>
      <c r="B37" s="818">
        <f>SUM(C37:AW37)</f>
        <v>-104237875.0312463</v>
      </c>
      <c r="C37" s="819">
        <f t="shared" ref="C37:W37" si="32">-C30</f>
        <v>0</v>
      </c>
      <c r="D37" s="819">
        <f t="shared" si="32"/>
        <v>0</v>
      </c>
      <c r="E37" s="819">
        <f t="shared" si="32"/>
        <v>-945200.08360000001</v>
      </c>
      <c r="F37" s="819">
        <f t="shared" si="32"/>
        <v>-862455.25</v>
      </c>
      <c r="G37" s="819">
        <f t="shared" si="32"/>
        <v>-354151.75</v>
      </c>
      <c r="H37" s="819">
        <f t="shared" si="32"/>
        <v>-491153.03553846152</v>
      </c>
      <c r="I37" s="819">
        <f t="shared" ref="I37:J37" si="33">-I30</f>
        <v>-354151.75</v>
      </c>
      <c r="J37" s="819">
        <f t="shared" si="33"/>
        <v>-1527075.875</v>
      </c>
      <c r="K37" s="819">
        <f t="shared" si="32"/>
        <v>-8520619.7753903102</v>
      </c>
      <c r="L37" s="819">
        <f t="shared" si="32"/>
        <v>-5624098.148189256</v>
      </c>
      <c r="M37" s="819">
        <f t="shared" si="32"/>
        <v>-5513121.862650794</v>
      </c>
      <c r="N37" s="819">
        <f t="shared" si="32"/>
        <v>-6955698.148189256</v>
      </c>
      <c r="O37" s="819">
        <f t="shared" si="32"/>
        <v>-4958161.9754311964</v>
      </c>
      <c r="P37" s="819">
        <f t="shared" si="32"/>
        <v>0</v>
      </c>
      <c r="Q37" s="819">
        <f t="shared" si="32"/>
        <v>0</v>
      </c>
      <c r="R37" s="819">
        <f t="shared" si="32"/>
        <v>0</v>
      </c>
      <c r="S37" s="819">
        <f t="shared" si="32"/>
        <v>0</v>
      </c>
      <c r="T37" s="819">
        <f t="shared" si="32"/>
        <v>0</v>
      </c>
      <c r="U37" s="819">
        <f t="shared" si="32"/>
        <v>0</v>
      </c>
      <c r="V37" s="819">
        <f t="shared" si="32"/>
        <v>0</v>
      </c>
      <c r="W37" s="819">
        <f t="shared" si="32"/>
        <v>0</v>
      </c>
      <c r="X37" s="820">
        <f>B36</f>
        <v>-68131987.377257019</v>
      </c>
      <c r="Y37" s="819"/>
      <c r="Z37" s="819"/>
      <c r="AA37" s="819"/>
      <c r="AB37" s="819"/>
      <c r="AC37" s="819"/>
      <c r="AD37" s="819"/>
      <c r="AE37" s="819"/>
      <c r="AF37" s="819"/>
      <c r="AG37" s="819"/>
      <c r="AH37" s="819"/>
      <c r="AI37" s="819"/>
      <c r="AJ37" s="819"/>
      <c r="AK37" s="819"/>
      <c r="AL37" s="819"/>
      <c r="AM37" s="819"/>
      <c r="AN37" s="819"/>
      <c r="AO37" s="819"/>
      <c r="AP37" s="819"/>
      <c r="AQ37" s="819"/>
      <c r="AR37" s="819"/>
      <c r="AS37" s="819"/>
      <c r="AT37" s="819"/>
      <c r="AU37" s="819"/>
      <c r="AV37" s="819"/>
      <c r="AW37" s="819"/>
      <c r="AX37" s="821"/>
      <c r="AY37" s="785"/>
      <c r="AZ37" s="785"/>
    </row>
    <row r="38" spans="1:76" customFormat="1">
      <c r="A38" s="803" t="s">
        <v>370</v>
      </c>
      <c r="B38" s="822">
        <f>IF(B37&lt;0,0,IRR(C37:AJW37))</f>
        <v>0</v>
      </c>
      <c r="C38" s="823"/>
      <c r="D38" s="823"/>
      <c r="E38" s="823"/>
      <c r="F38" s="823"/>
      <c r="G38" s="823"/>
      <c r="H38" s="823"/>
      <c r="I38" s="823"/>
      <c r="J38" s="823"/>
      <c r="K38" s="823"/>
      <c r="L38" s="823"/>
      <c r="M38" s="823"/>
      <c r="N38" s="823"/>
      <c r="O38" s="823"/>
      <c r="P38" s="823"/>
      <c r="Q38" s="823"/>
      <c r="R38" s="823"/>
      <c r="S38" s="823"/>
      <c r="T38" s="823"/>
      <c r="U38" s="823"/>
      <c r="V38" s="823"/>
      <c r="W38" s="823"/>
      <c r="X38" s="823"/>
      <c r="Y38" s="823"/>
      <c r="Z38" s="823"/>
      <c r="AA38" s="823"/>
      <c r="AB38" s="823"/>
      <c r="AC38" s="823"/>
      <c r="AD38" s="823"/>
      <c r="AE38" s="823"/>
      <c r="AF38" s="823"/>
      <c r="AG38" s="823"/>
      <c r="AH38" s="823"/>
      <c r="AI38" s="823"/>
      <c r="AJ38" s="823"/>
      <c r="AK38" s="823"/>
      <c r="AL38" s="823"/>
      <c r="AM38" s="823"/>
      <c r="AN38" s="823"/>
      <c r="AO38" s="823"/>
      <c r="AP38" s="823"/>
      <c r="AQ38" s="823"/>
      <c r="AR38" s="823"/>
      <c r="AS38" s="823"/>
      <c r="AT38" s="823"/>
      <c r="AU38" s="823"/>
      <c r="AV38" s="823"/>
      <c r="AW38" s="823"/>
      <c r="AX38" s="815"/>
      <c r="AY38" s="823"/>
      <c r="AZ38" s="824"/>
    </row>
    <row r="39" spans="1:76" customFormat="1">
      <c r="A39" s="793" t="s">
        <v>371</v>
      </c>
      <c r="B39" s="825">
        <f>POWER((1+B38),4)-1</f>
        <v>0</v>
      </c>
      <c r="C39" s="815"/>
      <c r="D39" s="815"/>
      <c r="E39" s="826"/>
      <c r="F39" s="826"/>
      <c r="G39" s="826"/>
      <c r="H39" s="826"/>
      <c r="I39" s="826"/>
      <c r="J39" s="826"/>
      <c r="K39" s="826"/>
      <c r="L39" s="826"/>
      <c r="M39" s="826"/>
      <c r="N39" s="826"/>
      <c r="O39" s="826"/>
      <c r="P39" s="826"/>
      <c r="Q39" s="826"/>
      <c r="R39" s="827"/>
      <c r="S39" s="826"/>
      <c r="T39" s="826"/>
      <c r="U39" s="826"/>
      <c r="V39" s="826"/>
      <c r="W39" s="826"/>
      <c r="X39" s="827"/>
      <c r="Y39" s="826"/>
      <c r="Z39" s="826"/>
      <c r="AA39" s="826"/>
      <c r="AB39" s="826"/>
      <c r="AC39" s="826"/>
      <c r="AD39" s="826"/>
      <c r="AE39" s="826"/>
      <c r="AF39" s="826"/>
      <c r="AG39" s="826"/>
      <c r="AH39" s="826"/>
      <c r="AI39" s="826"/>
      <c r="AJ39" s="826"/>
      <c r="AK39" s="826"/>
      <c r="AL39" s="826"/>
      <c r="AM39" s="826"/>
      <c r="AN39" s="826"/>
      <c r="AO39" s="826"/>
      <c r="AP39" s="826"/>
      <c r="AQ39" s="826"/>
      <c r="AR39" s="826"/>
      <c r="AS39" s="826"/>
      <c r="AT39" s="826"/>
      <c r="AU39" s="826"/>
      <c r="AV39" s="826"/>
      <c r="AW39" s="826"/>
      <c r="AX39" s="826"/>
      <c r="AY39" s="826"/>
      <c r="AZ39" s="828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"/>
    </row>
    <row r="40" spans="1:76" customFormat="1">
      <c r="A40" s="468" t="s">
        <v>372</v>
      </c>
      <c r="B40" s="469"/>
      <c r="C40" s="815"/>
      <c r="D40" s="815"/>
      <c r="E40" s="826"/>
      <c r="F40" s="826"/>
      <c r="G40" s="826"/>
      <c r="H40" s="826"/>
      <c r="I40" s="826"/>
      <c r="J40" s="826"/>
      <c r="K40" s="826"/>
      <c r="L40" s="826"/>
      <c r="M40" s="826"/>
      <c r="N40" s="826"/>
      <c r="O40" s="826"/>
      <c r="P40" s="826"/>
      <c r="Q40" s="826"/>
      <c r="R40" s="827"/>
      <c r="S40" s="826"/>
      <c r="T40" s="826"/>
      <c r="U40" s="826"/>
      <c r="V40" s="826"/>
      <c r="W40" s="826"/>
      <c r="X40" s="827"/>
      <c r="Y40" s="826"/>
      <c r="Z40" s="826"/>
      <c r="AA40" s="826"/>
      <c r="AB40" s="826"/>
      <c r="AC40" s="826"/>
      <c r="AD40" s="826"/>
      <c r="AE40" s="826"/>
      <c r="AF40" s="826"/>
      <c r="AG40" s="826"/>
      <c r="AH40" s="826"/>
      <c r="AI40" s="826"/>
      <c r="AJ40" s="826"/>
      <c r="AK40" s="826"/>
      <c r="AL40" s="826"/>
      <c r="AM40" s="826"/>
      <c r="AN40" s="826"/>
      <c r="AO40" s="826"/>
      <c r="AP40" s="826"/>
      <c r="AQ40" s="826"/>
      <c r="AR40" s="826"/>
      <c r="AS40" s="826"/>
      <c r="AT40" s="826"/>
      <c r="AU40" s="826"/>
      <c r="AV40" s="826"/>
      <c r="AW40" s="826"/>
      <c r="AX40" s="826"/>
      <c r="AY40" s="826"/>
      <c r="AZ40" s="828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"/>
    </row>
    <row r="41" spans="1:76" customFormat="1">
      <c r="A41" s="803" t="s">
        <v>373</v>
      </c>
      <c r="B41" s="68">
        <f>'B Financial'!B91-B28</f>
        <v>16115083.815384617</v>
      </c>
      <c r="C41" s="815"/>
      <c r="D41" s="815"/>
      <c r="E41" s="826"/>
      <c r="F41" s="826"/>
      <c r="G41" s="826"/>
      <c r="H41" s="826"/>
      <c r="I41" s="826"/>
      <c r="J41" s="826"/>
      <c r="K41" s="826"/>
      <c r="L41" s="826"/>
      <c r="M41" s="826"/>
      <c r="N41" s="826"/>
      <c r="O41" s="826"/>
      <c r="P41" s="826"/>
      <c r="Q41" s="826"/>
      <c r="R41" s="827"/>
      <c r="S41" s="826"/>
      <c r="T41" s="826"/>
      <c r="U41" s="826"/>
      <c r="V41" s="826"/>
      <c r="W41" s="826"/>
      <c r="X41" s="827"/>
      <c r="Y41" s="826"/>
      <c r="Z41" s="826"/>
      <c r="AA41" s="826"/>
      <c r="AB41" s="826"/>
      <c r="AC41" s="826"/>
      <c r="AD41" s="826"/>
      <c r="AE41" s="826"/>
      <c r="AF41" s="826"/>
      <c r="AG41" s="826"/>
      <c r="AH41" s="826"/>
      <c r="AI41" s="826"/>
      <c r="AJ41" s="826"/>
      <c r="AK41" s="826"/>
      <c r="AL41" s="826"/>
      <c r="AM41" s="826"/>
      <c r="AN41" s="826"/>
      <c r="AO41" s="826"/>
      <c r="AP41" s="826"/>
      <c r="AQ41" s="826"/>
      <c r="AR41" s="826"/>
      <c r="AS41" s="826"/>
      <c r="AT41" s="826"/>
      <c r="AU41" s="826"/>
      <c r="AV41" s="826"/>
      <c r="AW41" s="826"/>
      <c r="AX41" s="826"/>
      <c r="AY41" s="826"/>
      <c r="AZ41" s="828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"/>
    </row>
    <row r="42" spans="1:76" customFormat="1">
      <c r="A42" s="803" t="s">
        <v>374</v>
      </c>
      <c r="B42" s="818">
        <f>SUM(C42:AW42)</f>
        <v>-104237875.03124627</v>
      </c>
      <c r="C42" s="785">
        <f>-C27</f>
        <v>0</v>
      </c>
      <c r="D42" s="785">
        <f>-D27</f>
        <v>0</v>
      </c>
      <c r="E42" s="785">
        <f>-E27</f>
        <v>-945200.08360000001</v>
      </c>
      <c r="F42" s="785">
        <f t="shared" ref="F42:W42" si="34">-F27</f>
        <v>-862455.25</v>
      </c>
      <c r="G42" s="785">
        <f t="shared" si="34"/>
        <v>-354151.75</v>
      </c>
      <c r="H42" s="785">
        <f t="shared" si="34"/>
        <v>-491153.03553846152</v>
      </c>
      <c r="I42" s="785">
        <f t="shared" ref="I42:J42" si="35">-I27</f>
        <v>-354151.75</v>
      </c>
      <c r="J42" s="785">
        <f t="shared" si="35"/>
        <v>-1527075.875</v>
      </c>
      <c r="K42" s="785">
        <f t="shared" si="34"/>
        <v>-8520619.7753903102</v>
      </c>
      <c r="L42" s="785">
        <f t="shared" si="34"/>
        <v>-5624098.148189256</v>
      </c>
      <c r="M42" s="785">
        <f t="shared" si="34"/>
        <v>-5513121.862650794</v>
      </c>
      <c r="N42" s="785">
        <f t="shared" si="34"/>
        <v>-6955698.148189256</v>
      </c>
      <c r="O42" s="785">
        <f t="shared" si="34"/>
        <v>-12328054.546650795</v>
      </c>
      <c r="P42" s="785">
        <f t="shared" si="34"/>
        <v>-12658533.87870181</v>
      </c>
      <c r="Q42" s="785">
        <f t="shared" si="34"/>
        <v>-12607557.593163349</v>
      </c>
      <c r="R42" s="785">
        <f t="shared" si="34"/>
        <v>-12658533.87870181</v>
      </c>
      <c r="S42" s="785">
        <f t="shared" si="34"/>
        <v>-8806478.0273342002</v>
      </c>
      <c r="T42" s="785">
        <f t="shared" si="34"/>
        <v>-9098789.6772143636</v>
      </c>
      <c r="U42" s="785">
        <f t="shared" si="34"/>
        <v>-9339962.9149321802</v>
      </c>
      <c r="V42" s="785">
        <f t="shared" si="34"/>
        <v>-9384785.4315438047</v>
      </c>
      <c r="W42" s="785">
        <f t="shared" si="34"/>
        <v>-931676.82170851249</v>
      </c>
      <c r="X42" s="824">
        <f>-X27+B41</f>
        <v>14724223.417262625</v>
      </c>
      <c r="Y42" s="785"/>
      <c r="Z42" s="785"/>
      <c r="AA42" s="785"/>
      <c r="AB42" s="785"/>
      <c r="AC42" s="785"/>
      <c r="AD42" s="785"/>
      <c r="AE42" s="785"/>
      <c r="AF42" s="785"/>
      <c r="AG42" s="785"/>
      <c r="AH42" s="785"/>
      <c r="AI42" s="785"/>
      <c r="AJ42" s="785"/>
      <c r="AK42" s="785"/>
      <c r="AL42" s="785"/>
      <c r="AM42" s="785"/>
      <c r="AN42" s="785"/>
      <c r="AO42" s="785"/>
      <c r="AP42" s="785"/>
      <c r="AQ42" s="785"/>
      <c r="AR42" s="785"/>
      <c r="AS42" s="785"/>
      <c r="AT42" s="785"/>
      <c r="AU42" s="785"/>
      <c r="AV42" s="785"/>
      <c r="AW42" s="785"/>
      <c r="AX42" s="824"/>
      <c r="AY42" s="793"/>
      <c r="AZ42" s="793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</row>
    <row r="43" spans="1:76" customFormat="1">
      <c r="A43" s="803" t="s">
        <v>375</v>
      </c>
      <c r="B43" s="822">
        <f>IF(B42&lt;0,0,IRR(C42:AW42))</f>
        <v>0</v>
      </c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08"/>
      <c r="P43" s="815"/>
      <c r="Q43" s="815"/>
      <c r="R43" s="815"/>
      <c r="S43" s="815"/>
      <c r="T43" s="815"/>
      <c r="U43" s="808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815"/>
      <c r="AH43" s="815"/>
      <c r="AI43" s="815"/>
      <c r="AJ43" s="815"/>
      <c r="AK43" s="815"/>
      <c r="AL43" s="815"/>
      <c r="AM43" s="815"/>
      <c r="AN43" s="815"/>
      <c r="AO43" s="815"/>
      <c r="AP43" s="815"/>
      <c r="AQ43" s="815"/>
      <c r="AR43" s="815"/>
      <c r="AS43" s="815"/>
      <c r="AT43" s="815"/>
      <c r="AU43" s="815"/>
      <c r="AV43" s="815"/>
      <c r="AW43" s="815"/>
      <c r="AX43" s="815"/>
      <c r="AY43" s="815"/>
      <c r="AZ43" s="793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</row>
    <row r="44" spans="1:76" customFormat="1">
      <c r="A44" s="793" t="s">
        <v>376</v>
      </c>
      <c r="B44" s="825">
        <f>POWER((1+B43),4)-1</f>
        <v>0</v>
      </c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15"/>
      <c r="N44" s="815"/>
      <c r="O44" s="808"/>
      <c r="P44" s="815"/>
      <c r="Q44" s="815"/>
      <c r="R44" s="815"/>
      <c r="S44" s="815"/>
      <c r="T44" s="815"/>
      <c r="U44" s="808"/>
      <c r="V44" s="815"/>
      <c r="W44" s="815"/>
      <c r="X44" s="815"/>
      <c r="Y44" s="815"/>
      <c r="Z44" s="815"/>
      <c r="AA44" s="815"/>
      <c r="AB44" s="815"/>
      <c r="AC44" s="815"/>
      <c r="AD44" s="815"/>
      <c r="AE44" s="815"/>
      <c r="AF44" s="815"/>
      <c r="AG44" s="815"/>
      <c r="AH44" s="815"/>
      <c r="AI44" s="815"/>
      <c r="AJ44" s="815"/>
      <c r="AK44" s="815"/>
      <c r="AL44" s="815"/>
      <c r="AM44" s="815"/>
      <c r="AN44" s="815"/>
      <c r="AO44" s="815"/>
      <c r="AP44" s="815"/>
      <c r="AQ44" s="815"/>
      <c r="AR44" s="815"/>
      <c r="AS44" s="815"/>
      <c r="AT44" s="815"/>
      <c r="AU44" s="815"/>
      <c r="AV44" s="815"/>
      <c r="AW44" s="815"/>
      <c r="AX44" s="815"/>
      <c r="AY44" s="793"/>
      <c r="AZ44" s="793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</row>
    <row r="45" spans="1:76" customForma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</row>
    <row r="46" spans="1:76" customForma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</row>
    <row r="47" spans="1:76" customForma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</row>
    <row r="48" spans="1:76" customForma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</row>
    <row r="49" spans="1:76" customForma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</row>
    <row r="50" spans="1:76">
      <c r="G50" s="18"/>
    </row>
    <row r="51" spans="1:76">
      <c r="G51" s="18"/>
    </row>
    <row r="52" spans="1:76">
      <c r="G52" s="18"/>
    </row>
    <row r="53" spans="1:76">
      <c r="G53" s="18"/>
    </row>
    <row r="54" spans="1:76">
      <c r="G54" s="18"/>
    </row>
    <row r="55" spans="1:76">
      <c r="G55" s="18"/>
    </row>
    <row r="56" spans="1:76">
      <c r="G56" s="18"/>
    </row>
    <row r="57" spans="1:76">
      <c r="G57" s="18"/>
    </row>
    <row r="58" spans="1:76">
      <c r="G58" s="18"/>
    </row>
    <row r="59" spans="1:76">
      <c r="G59" s="18"/>
    </row>
    <row r="60" spans="1:76">
      <c r="G60" s="18"/>
    </row>
    <row r="61" spans="1:76">
      <c r="G61" s="18"/>
    </row>
    <row r="62" spans="1:76">
      <c r="G62" s="18"/>
    </row>
    <row r="63" spans="1:76">
      <c r="G63" s="18"/>
    </row>
    <row r="64" spans="1:76">
      <c r="G64" s="18"/>
    </row>
    <row r="65" spans="7:7">
      <c r="G65" s="18"/>
    </row>
    <row r="66" spans="7:7">
      <c r="G66" s="18"/>
    </row>
    <row r="67" spans="7:7">
      <c r="G67" s="18"/>
    </row>
    <row r="68" spans="7:7">
      <c r="G68" s="18"/>
    </row>
    <row r="69" spans="7:7">
      <c r="G69" s="18"/>
    </row>
    <row r="70" spans="7:7">
      <c r="G70" s="18"/>
    </row>
    <row r="71" spans="7:7">
      <c r="G71" s="18"/>
    </row>
    <row r="72" spans="7:7">
      <c r="G72" s="18"/>
    </row>
    <row r="73" spans="7:7">
      <c r="G73" s="18"/>
    </row>
    <row r="74" spans="7:7">
      <c r="G74" s="18"/>
    </row>
    <row r="75" spans="7:7">
      <c r="G75" s="18"/>
    </row>
    <row r="76" spans="7:7">
      <c r="G76" s="18"/>
    </row>
    <row r="77" spans="7:7">
      <c r="G77" s="18"/>
    </row>
    <row r="78" spans="7:7">
      <c r="G78" s="18"/>
    </row>
    <row r="79" spans="7:7">
      <c r="G79" s="18"/>
    </row>
    <row r="80" spans="7:7">
      <c r="G80" s="18"/>
    </row>
    <row r="81" spans="7:7">
      <c r="G81" s="18"/>
    </row>
    <row r="82" spans="7:7">
      <c r="G82" s="18"/>
    </row>
    <row r="83" spans="7:7">
      <c r="G83" s="18"/>
    </row>
    <row r="84" spans="7:7">
      <c r="G84" s="18"/>
    </row>
    <row r="85" spans="7:7">
      <c r="G85" s="18"/>
    </row>
    <row r="86" spans="7:7">
      <c r="G86" s="18"/>
    </row>
    <row r="87" spans="7:7">
      <c r="G87" s="18"/>
    </row>
    <row r="88" spans="7:7">
      <c r="G88" s="18"/>
    </row>
    <row r="89" spans="7:7">
      <c r="G89" s="18"/>
    </row>
    <row r="90" spans="7:7">
      <c r="G90" s="18"/>
    </row>
    <row r="91" spans="7:7">
      <c r="G91" s="18"/>
    </row>
    <row r="92" spans="7:7">
      <c r="G92" s="18"/>
    </row>
    <row r="93" spans="7:7">
      <c r="G93" s="18"/>
    </row>
    <row r="94" spans="7:7">
      <c r="G94" s="18"/>
    </row>
    <row r="95" spans="7:7">
      <c r="G95" s="18"/>
    </row>
    <row r="96" spans="7:7">
      <c r="G96" s="18"/>
    </row>
    <row r="97" spans="7:7">
      <c r="G97" s="18"/>
    </row>
    <row r="98" spans="7:7">
      <c r="G98" s="18"/>
    </row>
    <row r="99" spans="7:7">
      <c r="G99" s="18"/>
    </row>
    <row r="100" spans="7:7">
      <c r="G100" s="18"/>
    </row>
    <row r="101" spans="7:7">
      <c r="G101" s="18"/>
    </row>
    <row r="102" spans="7:7">
      <c r="G102" s="18"/>
    </row>
    <row r="103" spans="7:7">
      <c r="G103" s="18"/>
    </row>
    <row r="104" spans="7:7">
      <c r="G104" s="18"/>
    </row>
    <row r="105" spans="7:7">
      <c r="G105" s="18"/>
    </row>
    <row r="106" spans="7:7">
      <c r="G106" s="18"/>
    </row>
    <row r="107" spans="7:7">
      <c r="G107" s="18"/>
    </row>
    <row r="108" spans="7:7">
      <c r="G108" s="18"/>
    </row>
    <row r="109" spans="7:7">
      <c r="G109" s="18"/>
    </row>
    <row r="110" spans="7:7">
      <c r="G110" s="18"/>
    </row>
    <row r="111" spans="7:7">
      <c r="G111" s="18"/>
    </row>
    <row r="112" spans="7:7">
      <c r="G112" s="18"/>
    </row>
    <row r="113" spans="7:7">
      <c r="G113" s="18"/>
    </row>
    <row r="114" spans="7:7">
      <c r="G114" s="18"/>
    </row>
    <row r="115" spans="7:7">
      <c r="G115" s="18"/>
    </row>
    <row r="116" spans="7:7">
      <c r="G116" s="18"/>
    </row>
    <row r="117" spans="7:7">
      <c r="G117" s="18"/>
    </row>
    <row r="118" spans="7:7">
      <c r="G118" s="18"/>
    </row>
    <row r="119" spans="7:7">
      <c r="G119" s="18"/>
    </row>
    <row r="120" spans="7:7">
      <c r="G120" s="18"/>
    </row>
    <row r="121" spans="7:7">
      <c r="G121" s="18"/>
    </row>
    <row r="122" spans="7:7">
      <c r="G122" s="18"/>
    </row>
    <row r="123" spans="7:7">
      <c r="G123" s="18"/>
    </row>
    <row r="124" spans="7:7">
      <c r="G124" s="18"/>
    </row>
    <row r="125" spans="7:7">
      <c r="G125" s="18"/>
    </row>
    <row r="126" spans="7:7">
      <c r="G126" s="18"/>
    </row>
    <row r="127" spans="7:7">
      <c r="G127" s="18"/>
    </row>
    <row r="128" spans="7:7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</sheetData>
  <mergeCells count="4">
    <mergeCell ref="A1:A3"/>
    <mergeCell ref="AX2:AZ2"/>
    <mergeCell ref="A35:B35"/>
    <mergeCell ref="A40:B40"/>
  </mergeCells>
  <conditionalFormatting sqref="AX3:AZ3">
    <cfRule type="cellIs" dxfId="59" priority="13" operator="equal">
      <formula>#REF!</formula>
    </cfRule>
    <cfRule type="cellIs" dxfId="58" priority="14" operator="equal">
      <formula>#REF!</formula>
    </cfRule>
  </conditionalFormatting>
  <conditionalFormatting sqref="AX3:AZ3">
    <cfRule type="cellIs" dxfId="57" priority="15" operator="equal">
      <formula>#REF!</formula>
    </cfRule>
    <cfRule type="cellIs" dxfId="56" priority="16" operator="equal">
      <formula>#REF!</formula>
    </cfRule>
  </conditionalFormatting>
  <conditionalFormatting sqref="AV4:AW4">
    <cfRule type="cellIs" dxfId="55" priority="9" operator="equal">
      <formula>#REF!</formula>
    </cfRule>
    <cfRule type="cellIs" dxfId="54" priority="10" operator="equal">
      <formula>#REF!</formula>
    </cfRule>
  </conditionalFormatting>
  <conditionalFormatting sqref="AV4:AW4">
    <cfRule type="cellIs" dxfId="53" priority="11" operator="equal">
      <formula>#REF!</formula>
    </cfRule>
    <cfRule type="cellIs" dxfId="52" priority="12" operator="equal">
      <formula>#REF!</formula>
    </cfRule>
  </conditionalFormatting>
  <conditionalFormatting sqref="AV4:AW4">
    <cfRule type="cellIs" dxfId="51" priority="5" operator="equal">
      <formula>#REF!</formula>
    </cfRule>
    <cfRule type="cellIs" dxfId="50" priority="6" operator="equal">
      <formula>#REF!</formula>
    </cfRule>
  </conditionalFormatting>
  <conditionalFormatting sqref="AV4:AW4">
    <cfRule type="cellIs" dxfId="49" priority="7" operator="equal">
      <formula>#REF!</formula>
    </cfRule>
    <cfRule type="cellIs" dxfId="48" priority="8" operator="equal">
      <formula>#REF!</formula>
    </cfRule>
  </conditionalFormatting>
  <conditionalFormatting sqref="D3:AW3">
    <cfRule type="cellIs" dxfId="47" priority="1" operator="equal">
      <formula>#REF!</formula>
    </cfRule>
    <cfRule type="cellIs" dxfId="46" priority="2" operator="equal">
      <formula>#REF!</formula>
    </cfRule>
  </conditionalFormatting>
  <conditionalFormatting sqref="D3:AW3">
    <cfRule type="cellIs" dxfId="45" priority="3" operator="equal">
      <formula>#REF!</formula>
    </cfRule>
    <cfRule type="cellIs" dxfId="44" priority="4" operator="equal">
      <formula>#REF!</formula>
    </cfRule>
  </conditionalFormatting>
  <pageMargins left="0.7" right="0.7" top="0.75" bottom="0.75" header="0.3" footer="0.3"/>
  <pageSetup paperSize="3" orientation="landscape" horizontalDpi="1200" verticalDpi="1200" r:id="rId1"/>
  <headerFooter>
    <oddHeader>&amp;C&amp;"Calibri,Regular"&amp;K000000OVERALL DRAW</oddHeader>
    <oddFooter>&amp;C&amp;"Calibri,Regular"&amp;K000000PAGE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F7D-5F6A-438B-88E2-E4C5457A478F}">
  <sheetPr>
    <tabColor theme="6" tint="-0.249977111117893"/>
    <pageSetUpPr fitToPage="1"/>
  </sheetPr>
  <dimension ref="A1:J112"/>
  <sheetViews>
    <sheetView showGridLines="0" topLeftCell="A61" workbookViewId="0">
      <selection activeCell="C43" sqref="C43:D43"/>
    </sheetView>
  </sheetViews>
  <sheetFormatPr defaultColWidth="8.85546875" defaultRowHeight="23.25" customHeight="1"/>
  <cols>
    <col min="1" max="1" width="36.5703125" style="18" bestFit="1" customWidth="1"/>
    <col min="2" max="2" width="23.7109375" style="18" bestFit="1" customWidth="1"/>
    <col min="3" max="3" width="22.42578125" style="18" bestFit="1" customWidth="1"/>
    <col min="4" max="4" width="14.85546875" style="18" bestFit="1" customWidth="1"/>
    <col min="5" max="5" width="18.140625" style="18" bestFit="1" customWidth="1"/>
    <col min="6" max="6" width="2.85546875" style="18" bestFit="1" customWidth="1"/>
    <col min="7" max="7" width="13.42578125" style="18" bestFit="1" customWidth="1"/>
    <col min="8" max="8" width="24.5703125" style="18" customWidth="1"/>
    <col min="9" max="9" width="32.42578125" style="18" customWidth="1"/>
    <col min="10" max="10" width="20.140625" style="18" customWidth="1"/>
    <col min="11" max="16384" width="8.85546875" style="18"/>
  </cols>
  <sheetData>
    <row r="1" spans="1:10" ht="30.75" customHeight="1" thickBot="1">
      <c r="A1" s="447" t="s">
        <v>264</v>
      </c>
      <c r="B1" s="448"/>
      <c r="C1" s="448"/>
      <c r="D1" s="446" t="s">
        <v>186</v>
      </c>
      <c r="E1" s="446"/>
      <c r="G1" s="321"/>
      <c r="H1" s="321"/>
      <c r="I1" s="321"/>
      <c r="J1" s="321"/>
    </row>
    <row r="2" spans="1:10" ht="13.15">
      <c r="A2" s="19"/>
      <c r="B2" s="20"/>
      <c r="C2" s="20"/>
      <c r="D2" s="659">
        <v>0</v>
      </c>
      <c r="E2" s="660" t="s">
        <v>266</v>
      </c>
      <c r="G2" s="321"/>
      <c r="H2" s="321">
        <v>4000071</v>
      </c>
      <c r="I2" s="321"/>
      <c r="J2" s="321"/>
    </row>
    <row r="3" spans="1:10" ht="26.45">
      <c r="A3" s="21" t="s">
        <v>267</v>
      </c>
      <c r="B3" s="22" t="s">
        <v>268</v>
      </c>
      <c r="C3" s="60" t="s">
        <v>269</v>
      </c>
      <c r="D3" s="22" t="s">
        <v>270</v>
      </c>
      <c r="E3" s="23" t="s">
        <v>271</v>
      </c>
      <c r="G3" s="321"/>
      <c r="H3" s="321">
        <v>400086</v>
      </c>
      <c r="I3" s="321"/>
      <c r="J3" s="321"/>
    </row>
    <row r="4" spans="1:10" ht="13.15">
      <c r="A4" s="332" t="s">
        <v>273</v>
      </c>
      <c r="B4" s="662">
        <v>350</v>
      </c>
      <c r="C4" s="662">
        <v>750</v>
      </c>
      <c r="D4" s="839">
        <f>Assumptions!C11</f>
        <v>2.0499999999999998</v>
      </c>
      <c r="E4" s="665">
        <f>12*B4*C4*D4</f>
        <v>6457499.9999999991</v>
      </c>
      <c r="G4" s="321">
        <v>350</v>
      </c>
      <c r="H4" s="321">
        <v>4000065</v>
      </c>
      <c r="I4" s="321"/>
      <c r="J4" s="321"/>
    </row>
    <row r="5" spans="1:10" ht="13.9" thickBot="1">
      <c r="A5" s="332" t="s">
        <v>395</v>
      </c>
      <c r="B5" s="840">
        <v>50</v>
      </c>
      <c r="C5" s="840">
        <v>1000</v>
      </c>
      <c r="D5" s="841">
        <f>Assumptions!C14</f>
        <v>1.65</v>
      </c>
      <c r="E5" s="665">
        <f>12*B5*C5*D5</f>
        <v>990000</v>
      </c>
      <c r="G5" s="321">
        <v>50</v>
      </c>
      <c r="H5" s="321"/>
      <c r="I5" s="321"/>
      <c r="J5" s="321"/>
    </row>
    <row r="6" spans="1:10" ht="13.15" hidden="1">
      <c r="A6" s="332"/>
      <c r="B6" s="842"/>
      <c r="C6" s="842"/>
      <c r="D6" s="841"/>
      <c r="E6" s="665"/>
      <c r="G6" s="321"/>
      <c r="H6" s="321"/>
      <c r="I6" s="321"/>
      <c r="J6" s="321"/>
    </row>
    <row r="7" spans="1:10" ht="13.15" hidden="1">
      <c r="A7" s="332"/>
      <c r="B7" s="840"/>
      <c r="C7" s="840"/>
      <c r="D7" s="841"/>
      <c r="E7" s="665"/>
      <c r="G7" s="321"/>
      <c r="H7" s="321"/>
      <c r="I7" s="321"/>
      <c r="J7" s="321"/>
    </row>
    <row r="8" spans="1:10" ht="13.15" hidden="1">
      <c r="A8" s="332"/>
      <c r="B8" s="663"/>
      <c r="C8" s="663"/>
      <c r="D8" s="666"/>
      <c r="E8" s="665"/>
      <c r="G8" s="321"/>
      <c r="H8" s="321"/>
      <c r="I8" s="321"/>
      <c r="J8" s="321"/>
    </row>
    <row r="9" spans="1:10" ht="13.9" hidden="1" thickBot="1">
      <c r="A9" s="332"/>
      <c r="B9" s="663"/>
      <c r="C9" s="663"/>
      <c r="D9" s="666"/>
      <c r="E9" s="667"/>
      <c r="G9" s="321"/>
      <c r="H9" s="321"/>
      <c r="I9" s="321"/>
      <c r="J9" s="321"/>
    </row>
    <row r="10" spans="1:10" ht="14.45" thickTop="1" thickBot="1">
      <c r="A10" s="24" t="s">
        <v>276</v>
      </c>
      <c r="B10" s="25">
        <f>SUM(B4:B9)</f>
        <v>400</v>
      </c>
      <c r="C10" s="26">
        <f>B4*C4+B5*C5+B6*C6+B7*C7+B8*C8+B9*C9</f>
        <v>312500</v>
      </c>
      <c r="D10" s="27"/>
      <c r="E10" s="668">
        <f>SUM(E4:E9)</f>
        <v>7447499.9999999991</v>
      </c>
      <c r="G10" s="321"/>
      <c r="H10" s="321"/>
      <c r="I10" s="321"/>
      <c r="J10" s="321"/>
    </row>
    <row r="11" spans="1:10" ht="14.45" thickTop="1" thickBot="1">
      <c r="A11" s="28" t="s">
        <v>277</v>
      </c>
      <c r="B11" s="29"/>
      <c r="C11" s="30">
        <f>C10/B10</f>
        <v>781.25</v>
      </c>
      <c r="D11" s="31">
        <f>(E10/12)/C10</f>
        <v>1.9859999999999995</v>
      </c>
      <c r="E11" s="32"/>
      <c r="G11" s="321"/>
      <c r="H11" s="321"/>
      <c r="I11" s="321"/>
      <c r="J11" s="321"/>
    </row>
    <row r="12" spans="1:10" ht="13.15">
      <c r="A12" s="33"/>
      <c r="B12" s="34"/>
      <c r="C12" s="35"/>
      <c r="D12" s="36"/>
      <c r="G12" s="321"/>
      <c r="H12" s="321"/>
      <c r="I12" s="321"/>
      <c r="J12" s="321"/>
    </row>
    <row r="13" spans="1:10" ht="13.15">
      <c r="A13" s="21" t="s">
        <v>278</v>
      </c>
      <c r="B13" s="22" t="s">
        <v>279</v>
      </c>
      <c r="C13" s="22" t="s">
        <v>280</v>
      </c>
      <c r="D13" s="22" t="s">
        <v>271</v>
      </c>
      <c r="E13" s="321"/>
      <c r="F13" s="321"/>
      <c r="G13" s="321"/>
      <c r="H13" s="321">
        <f>898000</f>
        <v>898000</v>
      </c>
      <c r="I13" s="321">
        <v>337677</v>
      </c>
      <c r="J13" s="321"/>
    </row>
    <row r="14" spans="1:10" ht="21" customHeight="1">
      <c r="A14" s="669" t="s">
        <v>5</v>
      </c>
      <c r="B14" s="670">
        <v>119000</v>
      </c>
      <c r="C14" s="843">
        <f>Assumptions!F11</f>
        <v>42</v>
      </c>
      <c r="D14" s="672">
        <f>B14*C14</f>
        <v>4998000</v>
      </c>
      <c r="E14" s="321"/>
      <c r="F14" s="321"/>
      <c r="G14" s="321">
        <f>B14/2000</f>
        <v>59.5</v>
      </c>
      <c r="H14" s="337">
        <f>H13/1000</f>
        <v>898</v>
      </c>
      <c r="I14" s="321">
        <f>I13/1000</f>
        <v>337.67700000000002</v>
      </c>
      <c r="J14" s="321"/>
    </row>
    <row r="15" spans="1:10" ht="14.45" thickBot="1">
      <c r="A15" s="673" t="s">
        <v>4</v>
      </c>
      <c r="B15" s="674">
        <v>0</v>
      </c>
      <c r="C15" s="844">
        <f>Assumptions!F102</f>
        <v>0</v>
      </c>
      <c r="D15" s="676">
        <f>B15*C15</f>
        <v>0</v>
      </c>
      <c r="E15" s="321"/>
      <c r="F15" s="321">
        <f>10000/1000</f>
        <v>10</v>
      </c>
      <c r="G15" s="321"/>
      <c r="H15" s="337"/>
      <c r="I15" s="321"/>
      <c r="J15" s="321"/>
    </row>
    <row r="16" spans="1:10" ht="15" thickTop="1" thickBot="1">
      <c r="A16" s="37" t="s">
        <v>281</v>
      </c>
      <c r="B16" s="677">
        <f>SUM(B14:B15)</f>
        <v>119000</v>
      </c>
      <c r="C16" s="38">
        <f>IF(B16=0,0,D16/B16)</f>
        <v>42</v>
      </c>
      <c r="D16" s="39">
        <f>SUM(D14:D15)</f>
        <v>4998000</v>
      </c>
      <c r="E16" s="321"/>
      <c r="F16" s="321"/>
      <c r="G16" s="321"/>
      <c r="H16" s="337"/>
      <c r="I16" s="321"/>
      <c r="J16" s="321"/>
    </row>
    <row r="17" spans="1:10" ht="13.9">
      <c r="A17" s="681" t="s">
        <v>282</v>
      </c>
      <c r="B17" s="679"/>
      <c r="C17" s="321"/>
      <c r="D17" s="321"/>
      <c r="E17" s="321"/>
      <c r="F17" s="321"/>
      <c r="G17" s="321"/>
      <c r="H17" s="337"/>
      <c r="I17" s="321"/>
      <c r="J17" s="321"/>
    </row>
    <row r="18" spans="1:10" ht="13.9">
      <c r="A18" s="524" t="s">
        <v>384</v>
      </c>
      <c r="B18" s="680">
        <f>ROUND(SUM(C19:C20),0)</f>
        <v>847</v>
      </c>
      <c r="C18" s="322"/>
      <c r="D18" s="323"/>
      <c r="E18" s="321"/>
      <c r="F18" s="321"/>
      <c r="G18" s="321"/>
      <c r="H18" s="337"/>
      <c r="I18" s="321">
        <v>41000</v>
      </c>
      <c r="J18" s="321"/>
    </row>
    <row r="19" spans="1:10" ht="13.9" thickBot="1">
      <c r="A19" s="551" t="s">
        <v>31</v>
      </c>
      <c r="B19" s="680">
        <v>0</v>
      </c>
      <c r="C19" s="329">
        <f>B14/300</f>
        <v>396.66666666666669</v>
      </c>
      <c r="D19" s="323"/>
      <c r="E19" s="339">
        <f>B16/B23</f>
        <v>0.27578215527230593</v>
      </c>
      <c r="F19" s="321"/>
      <c r="G19" s="338">
        <v>6.5000000000000002E-2</v>
      </c>
      <c r="H19" s="331"/>
      <c r="I19" s="321"/>
      <c r="J19" s="321"/>
    </row>
    <row r="20" spans="1:10" ht="14.45" thickTop="1" thickBot="1">
      <c r="A20" s="43" t="s">
        <v>283</v>
      </c>
      <c r="B20" s="44">
        <f>SUM(B18:B19)</f>
        <v>847</v>
      </c>
      <c r="C20" s="322">
        <f>(B4*1)+D20</f>
        <v>450</v>
      </c>
      <c r="D20" s="323">
        <f>B5*2</f>
        <v>100</v>
      </c>
      <c r="E20" s="339">
        <f>C10/B23</f>
        <v>0.72421784472769413</v>
      </c>
      <c r="F20" s="321"/>
      <c r="G20" s="338">
        <v>0.05</v>
      </c>
      <c r="H20" s="331"/>
      <c r="I20" s="321"/>
      <c r="J20" s="321"/>
    </row>
    <row r="21" spans="1:10" ht="13.15">
      <c r="A21" s="681" t="s">
        <v>284</v>
      </c>
      <c r="B21" s="682" t="str">
        <f>D1</f>
        <v>South Mixed Use Site</v>
      </c>
      <c r="C21" s="321"/>
      <c r="D21" s="321"/>
      <c r="E21" s="321"/>
      <c r="F21" s="321"/>
      <c r="G21" s="321"/>
      <c r="H21" s="331"/>
      <c r="I21" s="321"/>
      <c r="J21" s="321"/>
    </row>
    <row r="22" spans="1:10" ht="13.15">
      <c r="A22" s="683" t="s">
        <v>285</v>
      </c>
      <c r="B22" s="684">
        <f>'Development Program'!D7</f>
        <v>529254</v>
      </c>
      <c r="C22" s="324">
        <v>251000</v>
      </c>
      <c r="D22" s="325"/>
      <c r="E22" s="321"/>
      <c r="F22" s="321"/>
      <c r="G22" s="321"/>
      <c r="H22" s="331"/>
      <c r="I22" s="321"/>
      <c r="J22" s="321"/>
    </row>
    <row r="23" spans="1:10" ht="13.15">
      <c r="A23" s="683" t="s">
        <v>286</v>
      </c>
      <c r="B23" s="684">
        <f>C10+B16</f>
        <v>431500</v>
      </c>
      <c r="C23" s="324"/>
      <c r="D23" s="325"/>
      <c r="E23" s="321"/>
      <c r="F23" s="321"/>
      <c r="G23" s="321"/>
      <c r="H23" s="331"/>
      <c r="I23" s="321"/>
      <c r="J23" s="321"/>
    </row>
    <row r="24" spans="1:10" ht="13.15">
      <c r="A24" s="685">
        <v>350</v>
      </c>
      <c r="B24" s="684">
        <f>B20*A24</f>
        <v>296450</v>
      </c>
      <c r="C24" s="324"/>
      <c r="D24" s="325"/>
      <c r="E24" s="321"/>
      <c r="F24" s="321"/>
      <c r="G24" s="321"/>
      <c r="H24" s="331"/>
      <c r="I24" s="321"/>
      <c r="J24" s="321"/>
    </row>
    <row r="25" spans="1:10" ht="13.15">
      <c r="A25" s="845">
        <v>0.2</v>
      </c>
      <c r="B25" s="684">
        <f>(1+A25)*(B23+B24)</f>
        <v>873540</v>
      </c>
      <c r="C25" s="326">
        <f>B26/C22</f>
        <v>0.87005976095617532</v>
      </c>
      <c r="D25" s="327">
        <f>B25/C22</f>
        <v>3.4802390438247013</v>
      </c>
      <c r="E25" s="321"/>
      <c r="F25" s="321"/>
      <c r="G25" s="321"/>
      <c r="H25" s="280"/>
    </row>
    <row r="26" spans="1:10" ht="13.9" thickBot="1">
      <c r="A26" s="846">
        <v>4</v>
      </c>
      <c r="B26" s="688">
        <f>B25/A26</f>
        <v>218385</v>
      </c>
      <c r="C26" s="46"/>
      <c r="D26" s="47"/>
      <c r="E26" s="321"/>
      <c r="F26" s="321"/>
      <c r="G26" s="321"/>
      <c r="H26" s="340"/>
      <c r="I26" s="321"/>
    </row>
    <row r="27" spans="1:10" ht="15" customHeight="1" thickBot="1">
      <c r="A27" s="461" t="s">
        <v>287</v>
      </c>
      <c r="B27" s="462"/>
      <c r="C27" s="485" t="str">
        <f>'Development Program'!B29</f>
        <v>South Mixed Use Site</v>
      </c>
      <c r="D27" s="486"/>
      <c r="E27" s="321"/>
      <c r="F27" s="321"/>
      <c r="G27" s="321"/>
      <c r="H27" s="340"/>
      <c r="I27" s="321"/>
    </row>
    <row r="28" spans="1:10" ht="14.45" customHeight="1" thickBot="1">
      <c r="A28" s="342" t="s">
        <v>288</v>
      </c>
      <c r="B28" s="343" t="s">
        <v>289</v>
      </c>
      <c r="C28" s="343" t="s">
        <v>290</v>
      </c>
      <c r="D28" s="354" t="s">
        <v>291</v>
      </c>
      <c r="E28" s="45"/>
      <c r="H28" s="340"/>
      <c r="I28" s="321"/>
    </row>
    <row r="29" spans="1:10" ht="31.35" customHeight="1">
      <c r="A29" s="345" t="s">
        <v>292</v>
      </c>
      <c r="B29" s="346">
        <f>D29/B10</f>
        <v>18618.749999999996</v>
      </c>
      <c r="C29" s="352">
        <f>D29/C10</f>
        <v>23.831999999999997</v>
      </c>
      <c r="D29" s="355">
        <f>E10</f>
        <v>7447499.9999999991</v>
      </c>
      <c r="E29" s="45"/>
      <c r="H29" s="340"/>
      <c r="I29" s="321"/>
    </row>
    <row r="30" spans="1:10" ht="13.15">
      <c r="A30" s="690">
        <f>B16</f>
        <v>119000</v>
      </c>
      <c r="B30" s="459" t="s">
        <v>293</v>
      </c>
      <c r="C30" s="484"/>
      <c r="D30" s="691">
        <f>D16</f>
        <v>4998000</v>
      </c>
      <c r="E30" s="45"/>
      <c r="H30" s="340"/>
      <c r="I30" s="321"/>
    </row>
    <row r="31" spans="1:10" ht="13.15">
      <c r="A31" s="847"/>
      <c r="B31" s="693" t="s">
        <v>294</v>
      </c>
      <c r="C31" s="848"/>
      <c r="D31" s="849">
        <f>SUM(D29:D30)</f>
        <v>12445500</v>
      </c>
      <c r="E31" s="45"/>
      <c r="H31" s="340"/>
      <c r="I31" s="321"/>
    </row>
    <row r="32" spans="1:10" ht="13.15">
      <c r="A32" s="850" t="s">
        <v>295</v>
      </c>
      <c r="B32" s="694" t="s">
        <v>296</v>
      </c>
      <c r="C32" s="851" t="s">
        <v>297</v>
      </c>
      <c r="D32" s="849"/>
      <c r="E32" s="45"/>
      <c r="H32" s="340"/>
      <c r="I32" s="321"/>
    </row>
    <row r="33" spans="1:9" ht="13.15">
      <c r="A33" s="847" t="s">
        <v>396</v>
      </c>
      <c r="B33" s="696">
        <v>50</v>
      </c>
      <c r="C33" s="852">
        <f>D33/C10</f>
        <v>1.6262399999999999</v>
      </c>
      <c r="D33" s="853">
        <f>B33*B18*12</f>
        <v>508200</v>
      </c>
      <c r="E33" s="45"/>
      <c r="H33" s="340"/>
      <c r="I33" s="321"/>
    </row>
    <row r="34" spans="1:9" ht="13.15">
      <c r="A34" s="847" t="s">
        <v>299</v>
      </c>
      <c r="B34" s="696">
        <f>D34/B10</f>
        <v>2177.9625000000001</v>
      </c>
      <c r="C34" s="852">
        <f>D34/C10</f>
        <v>2.7877920000000005</v>
      </c>
      <c r="D34" s="853">
        <f>Assumptions!F14*D31</f>
        <v>871185.00000000012</v>
      </c>
      <c r="E34" s="45"/>
      <c r="H34" s="340"/>
      <c r="I34" s="321"/>
    </row>
    <row r="35" spans="1:9" ht="13.15">
      <c r="A35" s="847" t="s">
        <v>300</v>
      </c>
      <c r="B35" s="696"/>
      <c r="C35" s="852"/>
      <c r="D35" s="853">
        <f>C62/5*0.6</f>
        <v>1071000</v>
      </c>
      <c r="E35" s="45"/>
      <c r="H35" s="340"/>
      <c r="I35" s="321"/>
    </row>
    <row r="36" spans="1:9" ht="13.9" thickBot="1">
      <c r="A36" s="49" t="s">
        <v>301</v>
      </c>
      <c r="B36" s="451"/>
      <c r="C36" s="478"/>
      <c r="D36" s="50">
        <f>SUM(D33:D35)</f>
        <v>2450385</v>
      </c>
      <c r="E36" s="45"/>
      <c r="H36" s="340"/>
      <c r="I36" s="321"/>
    </row>
    <row r="37" spans="1:9" ht="14.45" thickTop="1" thickBot="1">
      <c r="A37" s="51">
        <v>0.05</v>
      </c>
      <c r="B37" s="453"/>
      <c r="C37" s="479"/>
      <c r="D37" s="52">
        <f>-A37*D31</f>
        <v>-622275</v>
      </c>
      <c r="E37" s="45"/>
      <c r="H37" s="340">
        <v>6888.9599999999991</v>
      </c>
      <c r="I37" s="321"/>
    </row>
    <row r="38" spans="1:9" ht="14.45" thickTop="1" thickBot="1">
      <c r="A38" s="347" t="s">
        <v>302</v>
      </c>
      <c r="B38" s="53">
        <f>D38/B10</f>
        <v>35684.025000000001</v>
      </c>
      <c r="C38" s="353">
        <f>D38/C10</f>
        <v>45.675552000000003</v>
      </c>
      <c r="D38" s="54">
        <f>D31+D36+D37</f>
        <v>14273610</v>
      </c>
      <c r="E38" s="45"/>
      <c r="H38" s="340">
        <v>6458.4</v>
      </c>
      <c r="I38" s="321"/>
    </row>
    <row r="39" spans="1:9" ht="13.15">
      <c r="A39" s="21" t="s">
        <v>303</v>
      </c>
      <c r="B39" s="22" t="s">
        <v>289</v>
      </c>
      <c r="C39" s="22" t="s">
        <v>304</v>
      </c>
      <c r="D39" s="55" t="s">
        <v>291</v>
      </c>
      <c r="E39" s="45"/>
      <c r="H39" s="340">
        <v>6469.1639999999998</v>
      </c>
      <c r="I39" s="321"/>
    </row>
    <row r="40" spans="1:9" ht="13.9" thickBot="1">
      <c r="A40" s="348" t="s">
        <v>305</v>
      </c>
      <c r="B40" s="57">
        <f>D40/B10</f>
        <v>-9334.125</v>
      </c>
      <c r="C40" s="57">
        <f>D40/C10</f>
        <v>-11.94768</v>
      </c>
      <c r="D40" s="349">
        <f>-0.3*D31</f>
        <v>-3733650</v>
      </c>
      <c r="E40" s="45"/>
      <c r="H40" s="340">
        <v>5887.9079999999994</v>
      </c>
      <c r="I40" s="321"/>
    </row>
    <row r="41" spans="1:9" ht="13.9" thickBot="1">
      <c r="A41" s="297" t="s">
        <v>306</v>
      </c>
      <c r="B41" s="298">
        <f>D41/B10</f>
        <v>26349.9</v>
      </c>
      <c r="C41" s="299"/>
      <c r="D41" s="350">
        <f>D38+D40</f>
        <v>10539960</v>
      </c>
      <c r="E41" s="45"/>
      <c r="H41" s="340">
        <v>7750.08</v>
      </c>
      <c r="I41" s="321"/>
    </row>
    <row r="42" spans="1:9" ht="13.9" thickBot="1">
      <c r="A42" s="351" t="s">
        <v>307</v>
      </c>
      <c r="B42" s="58" t="s">
        <v>308</v>
      </c>
      <c r="C42" s="59">
        <v>0.05</v>
      </c>
      <c r="D42" s="700">
        <f>D41/C42</f>
        <v>210799200</v>
      </c>
      <c r="E42" s="45"/>
      <c r="H42" s="340">
        <f>SUM(H37:H41)</f>
        <v>33454.511999999995</v>
      </c>
      <c r="I42" s="321"/>
    </row>
    <row r="43" spans="1:9" ht="13.9" thickBot="1">
      <c r="A43" s="463" t="s">
        <v>309</v>
      </c>
      <c r="B43" s="464"/>
      <c r="C43" s="487" t="str">
        <f>'Development Program'!B29</f>
        <v>South Mixed Use Site</v>
      </c>
      <c r="D43" s="488"/>
      <c r="H43" s="340">
        <f>H42/350</f>
        <v>95.584319999999991</v>
      </c>
      <c r="I43" s="321"/>
    </row>
    <row r="44" spans="1:9" ht="13.9" thickBot="1">
      <c r="A44" s="336"/>
      <c r="B44" s="60" t="s">
        <v>310</v>
      </c>
      <c r="C44" s="60" t="s">
        <v>311</v>
      </c>
      <c r="D44" s="60" t="s">
        <v>289</v>
      </c>
      <c r="H44" s="321"/>
      <c r="I44" s="321"/>
    </row>
    <row r="45" spans="1:9" ht="13.15">
      <c r="A45" s="241" t="s">
        <v>312</v>
      </c>
      <c r="B45" s="854">
        <v>197</v>
      </c>
      <c r="C45" s="702">
        <f>B45*(C10+B16)</f>
        <v>85005500</v>
      </c>
      <c r="D45" s="696">
        <f>C45/B$24</f>
        <v>286.74481362793051</v>
      </c>
      <c r="H45" s="321"/>
      <c r="I45" s="321"/>
    </row>
    <row r="46" spans="1:9" ht="13.15">
      <c r="A46" s="61" t="s">
        <v>313</v>
      </c>
      <c r="B46" s="855">
        <f>Assumptions!C30</f>
        <v>12500</v>
      </c>
      <c r="C46" s="62">
        <f>B20*B46</f>
        <v>10587500</v>
      </c>
      <c r="D46" s="696">
        <f t="shared" ref="D46:D67" si="0">C46/B$24</f>
        <v>35.714285714285715</v>
      </c>
      <c r="H46" s="321"/>
      <c r="I46" s="321"/>
    </row>
    <row r="47" spans="1:9" ht="13.15">
      <c r="A47" s="61" t="s">
        <v>121</v>
      </c>
      <c r="B47" s="856">
        <v>7.0000000000000007E-2</v>
      </c>
      <c r="C47" s="62">
        <f>B47*C45</f>
        <v>5950385.0000000009</v>
      </c>
      <c r="D47" s="696">
        <f t="shared" si="0"/>
        <v>20.072136953955138</v>
      </c>
      <c r="H47" s="321"/>
      <c r="I47" s="321"/>
    </row>
    <row r="48" spans="1:9" ht="13.15">
      <c r="A48" s="61" t="s">
        <v>205</v>
      </c>
      <c r="B48" s="704" t="s">
        <v>131</v>
      </c>
      <c r="C48" s="62">
        <v>500000</v>
      </c>
      <c r="D48" s="696">
        <f t="shared" si="0"/>
        <v>1.6866250632484399</v>
      </c>
      <c r="H48" s="321"/>
      <c r="I48" s="321"/>
    </row>
    <row r="49" spans="1:9" ht="13.15">
      <c r="A49" s="61" t="s">
        <v>314</v>
      </c>
      <c r="B49" s="705" t="s">
        <v>397</v>
      </c>
      <c r="C49" s="857">
        <f>B22*'Market Research'!AA13</f>
        <v>1488439.4288674078</v>
      </c>
      <c r="D49" s="696">
        <f t="shared" si="0"/>
        <v>5.0208784917099267</v>
      </c>
      <c r="H49" s="341" t="s">
        <v>398</v>
      </c>
      <c r="I49" s="321" t="s">
        <v>399</v>
      </c>
    </row>
    <row r="50" spans="1:9" ht="13.15">
      <c r="A50" s="61" t="s">
        <v>124</v>
      </c>
      <c r="B50" s="858">
        <v>72</v>
      </c>
      <c r="C50" s="62">
        <f>(B10*B50)+(B14/300*B50)</f>
        <v>57360</v>
      </c>
      <c r="D50" s="696">
        <f t="shared" si="0"/>
        <v>0.19348962725586102</v>
      </c>
      <c r="H50" s="321"/>
      <c r="I50" s="321"/>
    </row>
    <row r="51" spans="1:9" ht="23.25" customHeight="1">
      <c r="A51" s="61" t="s">
        <v>316</v>
      </c>
      <c r="B51" s="859" t="s">
        <v>317</v>
      </c>
      <c r="C51" s="62">
        <f>'Development Program'!E20+'Development Program'!E21</f>
        <v>3565000</v>
      </c>
      <c r="D51" s="696">
        <f t="shared" si="0"/>
        <v>12.025636700961376</v>
      </c>
      <c r="H51" s="321"/>
      <c r="I51" s="321"/>
    </row>
    <row r="52" spans="1:9" ht="13.15">
      <c r="A52" s="524" t="s">
        <v>130</v>
      </c>
      <c r="B52" s="709" t="s">
        <v>131</v>
      </c>
      <c r="C52" s="860">
        <v>400000</v>
      </c>
      <c r="D52" s="696">
        <f t="shared" si="0"/>
        <v>1.3493000505987518</v>
      </c>
      <c r="G52" s="81"/>
      <c r="H52" s="321"/>
      <c r="I52" s="321"/>
    </row>
    <row r="53" spans="1:9" ht="13.15">
      <c r="A53" s="524" t="s">
        <v>132</v>
      </c>
      <c r="B53" s="709" t="s">
        <v>131</v>
      </c>
      <c r="C53" s="860">
        <v>2140320</v>
      </c>
      <c r="D53" s="696">
        <f t="shared" si="0"/>
        <v>7.2198347107438012</v>
      </c>
      <c r="E53" s="63"/>
      <c r="H53" s="321"/>
      <c r="I53" s="321"/>
    </row>
    <row r="54" spans="1:9" ht="13.15">
      <c r="A54" s="524" t="s">
        <v>51</v>
      </c>
      <c r="B54" s="709">
        <v>10</v>
      </c>
      <c r="C54" s="860">
        <f>B54*0.1*B22</f>
        <v>529254</v>
      </c>
      <c r="D54" s="696">
        <f t="shared" si="0"/>
        <v>1.7853061224489797</v>
      </c>
      <c r="E54" s="63"/>
      <c r="H54" s="321"/>
      <c r="I54" s="321"/>
    </row>
    <row r="55" spans="1:9" ht="49.5" customHeight="1">
      <c r="A55" s="524" t="s">
        <v>134</v>
      </c>
      <c r="B55" s="861">
        <v>0.03</v>
      </c>
      <c r="C55" s="712">
        <f>B55*(C45+C47)</f>
        <v>2728676.55</v>
      </c>
      <c r="D55" s="696">
        <f t="shared" si="0"/>
        <v>9.2045085174565688</v>
      </c>
      <c r="H55" s="321"/>
      <c r="I55" s="321"/>
    </row>
    <row r="56" spans="1:9" ht="22.5" customHeight="1">
      <c r="A56" s="524" t="s">
        <v>136</v>
      </c>
      <c r="B56" s="862">
        <v>0.03</v>
      </c>
      <c r="C56" s="714">
        <f>B56*SUM(C45:C55)</f>
        <v>3388573.049366022</v>
      </c>
      <c r="D56" s="696">
        <f t="shared" si="0"/>
        <v>11.430504467417851</v>
      </c>
      <c r="H56" s="321"/>
      <c r="I56" s="321"/>
    </row>
    <row r="57" spans="1:9" ht="13.15">
      <c r="A57" s="524" t="s">
        <v>138</v>
      </c>
      <c r="B57" s="861">
        <v>0.02</v>
      </c>
      <c r="C57" s="712">
        <f>B57*(C45+C47)</f>
        <v>1819117.7</v>
      </c>
      <c r="D57" s="696">
        <f t="shared" si="0"/>
        <v>6.1363390116377126</v>
      </c>
      <c r="H57" s="321"/>
      <c r="I57" s="321"/>
    </row>
    <row r="58" spans="1:9" ht="26.25" customHeight="1">
      <c r="A58" s="524" t="s">
        <v>318</v>
      </c>
      <c r="B58" s="715" t="s">
        <v>131</v>
      </c>
      <c r="C58" s="860">
        <f>0.31*D42*0.06</f>
        <v>3920865.1199999996</v>
      </c>
      <c r="D58" s="696">
        <f t="shared" si="0"/>
        <v>13.226058762017203</v>
      </c>
      <c r="H58" s="321"/>
      <c r="I58" s="321"/>
    </row>
    <row r="59" spans="1:9" ht="13.15">
      <c r="A59" s="524" t="s">
        <v>142</v>
      </c>
      <c r="B59" s="859">
        <v>6000</v>
      </c>
      <c r="C59" s="712">
        <f>B59*B25/3000</f>
        <v>1747080</v>
      </c>
      <c r="D59" s="696">
        <f t="shared" si="0"/>
        <v>5.8933378310001689</v>
      </c>
    </row>
    <row r="60" spans="1:9" ht="13.15">
      <c r="A60" s="524" t="s">
        <v>144</v>
      </c>
      <c r="B60" s="709" t="s">
        <v>131</v>
      </c>
      <c r="C60" s="860">
        <v>400000</v>
      </c>
      <c r="D60" s="696">
        <f t="shared" si="0"/>
        <v>1.3493000505987518</v>
      </c>
    </row>
    <row r="61" spans="1:9" ht="13.15">
      <c r="A61" s="524" t="s">
        <v>145</v>
      </c>
      <c r="B61" s="863">
        <v>6</v>
      </c>
      <c r="C61" s="712">
        <f>-B61*(D40/12)</f>
        <v>1866825</v>
      </c>
      <c r="D61" s="696">
        <f t="shared" si="0"/>
        <v>6.2972676673975378</v>
      </c>
    </row>
    <row r="62" spans="1:9" ht="13.15">
      <c r="A62" s="524" t="s">
        <v>319</v>
      </c>
      <c r="B62" s="64">
        <v>75</v>
      </c>
      <c r="C62" s="712">
        <f>B16*B62</f>
        <v>8925000</v>
      </c>
      <c r="D62" s="696">
        <f t="shared" si="0"/>
        <v>30.106257378984651</v>
      </c>
    </row>
    <row r="63" spans="1:9" ht="27" customHeight="1">
      <c r="A63" s="524" t="s">
        <v>320</v>
      </c>
      <c r="B63" s="864">
        <v>0.06</v>
      </c>
      <c r="C63" s="714">
        <f>B63*D16*5</f>
        <v>1499400</v>
      </c>
      <c r="D63" s="696">
        <f t="shared" si="0"/>
        <v>5.0578512396694215</v>
      </c>
    </row>
    <row r="64" spans="1:9" ht="27" customHeight="1">
      <c r="A64" s="524" t="s">
        <v>148</v>
      </c>
      <c r="B64" s="865">
        <v>1.4999999999999999E-2</v>
      </c>
      <c r="C64" s="714">
        <v>1419510</v>
      </c>
      <c r="D64" s="696">
        <f t="shared" si="0"/>
        <v>4.7883622870635856</v>
      </c>
      <c r="E64" s="482" t="s">
        <v>400</v>
      </c>
      <c r="F64" s="483"/>
      <c r="G64" s="65">
        <f>B64*B77</f>
        <v>1541820</v>
      </c>
    </row>
    <row r="65" spans="1:7" ht="13.15">
      <c r="A65" s="720" t="s">
        <v>149</v>
      </c>
      <c r="B65" s="866">
        <v>7.0000000000000007E-2</v>
      </c>
      <c r="C65" s="714">
        <v>6624380.0000000009</v>
      </c>
      <c r="D65" s="696">
        <f t="shared" si="0"/>
        <v>22.345690672963404</v>
      </c>
      <c r="E65" s="482" t="s">
        <v>400</v>
      </c>
      <c r="F65" s="483"/>
      <c r="G65" s="66">
        <f>B65*B77</f>
        <v>7195160.0000000009</v>
      </c>
    </row>
    <row r="66" spans="1:7" ht="13.9" thickBot="1">
      <c r="A66" s="551" t="s">
        <v>322</v>
      </c>
      <c r="B66" s="722" t="s">
        <v>131</v>
      </c>
      <c r="C66" s="867">
        <v>2276447.6059755511</v>
      </c>
      <c r="D66" s="724">
        <f t="shared" si="0"/>
        <v>7.679027174820547</v>
      </c>
    </row>
    <row r="67" spans="1:7" ht="14.45" thickTop="1" thickBot="1">
      <c r="A67" s="725" t="s">
        <v>323</v>
      </c>
      <c r="B67" s="726"/>
      <c r="C67" s="67">
        <f>SUM(C45:C66)</f>
        <v>146839633.454209</v>
      </c>
      <c r="D67" s="67">
        <f t="shared" si="0"/>
        <v>495.32681212416594</v>
      </c>
    </row>
    <row r="68" spans="1:7" ht="13.15">
      <c r="A68" s="727" t="s">
        <v>324</v>
      </c>
      <c r="B68" s="728">
        <f>D41/C67</f>
        <v>7.1778713635149594E-2</v>
      </c>
    </row>
    <row r="69" spans="1:7" ht="13.15">
      <c r="A69" s="729" t="s">
        <v>325</v>
      </c>
      <c r="B69" s="730">
        <f>(D42/C67)-1</f>
        <v>0.43557427270299187</v>
      </c>
      <c r="C69" s="68"/>
      <c r="D69" s="69"/>
    </row>
    <row r="70" spans="1:7" ht="13.9" thickBot="1">
      <c r="A70" s="731">
        <v>0.3</v>
      </c>
      <c r="B70" s="732">
        <f>(D42/(1+A70))</f>
        <v>162153230.76923075</v>
      </c>
    </row>
    <row r="71" spans="1:7" ht="13.9" thickBot="1">
      <c r="A71" s="868">
        <v>0.3</v>
      </c>
      <c r="B71" s="732">
        <f>ROUND((D42/(1+A71))-C67,-3)</f>
        <v>15314000</v>
      </c>
      <c r="C71" s="70" t="s">
        <v>326</v>
      </c>
    </row>
    <row r="72" spans="1:7" ht="13.9" thickBot="1">
      <c r="A72" s="71"/>
      <c r="B72" s="72"/>
    </row>
    <row r="73" spans="1:7" ht="15" customHeight="1" thickBot="1">
      <c r="A73" s="480" t="s">
        <v>327</v>
      </c>
      <c r="B73" s="481"/>
      <c r="C73" s="869" t="str">
        <f>'Development Program'!B29</f>
        <v>South Mixed Use Site</v>
      </c>
    </row>
    <row r="74" spans="1:7" ht="13.9" thickBot="1">
      <c r="A74" s="735"/>
      <c r="B74" s="736" t="s">
        <v>328</v>
      </c>
      <c r="C74" s="737" t="s">
        <v>289</v>
      </c>
    </row>
    <row r="75" spans="1:7" ht="13.15">
      <c r="A75" s="73" t="s">
        <v>329</v>
      </c>
      <c r="B75" s="74">
        <f>IF(B71&lt;0,B71,0)</f>
        <v>0</v>
      </c>
      <c r="C75" s="668">
        <f>B75/B10</f>
        <v>0</v>
      </c>
    </row>
    <row r="76" spans="1:7" ht="13.15">
      <c r="A76" s="75" t="s">
        <v>330</v>
      </c>
      <c r="B76" s="74">
        <f>C67+B75</f>
        <v>146839633.454209</v>
      </c>
      <c r="C76" s="668">
        <f>B76/B10</f>
        <v>367099.08363552252</v>
      </c>
    </row>
    <row r="77" spans="1:7" ht="13.15">
      <c r="A77" s="870">
        <f>Assumptions!H17</f>
        <v>0.7</v>
      </c>
      <c r="B77" s="76">
        <f>ROUND(A77*C67,-3)</f>
        <v>102788000</v>
      </c>
      <c r="C77" s="77">
        <f>B77/B10</f>
        <v>256970</v>
      </c>
    </row>
    <row r="78" spans="1:7" ht="24" customHeight="1" thickBot="1">
      <c r="A78" s="740">
        <f>1-A77</f>
        <v>0.30000000000000004</v>
      </c>
      <c r="B78" s="76">
        <f>ROUND(A78*C67,-3)</f>
        <v>44052000</v>
      </c>
      <c r="C78" s="871">
        <f>B78/B10</f>
        <v>110130</v>
      </c>
      <c r="D78" s="69"/>
    </row>
    <row r="79" spans="1:7" ht="35.450000000000003" customHeight="1" thickTop="1">
      <c r="A79" s="138" t="s">
        <v>331</v>
      </c>
      <c r="B79" s="872">
        <f>B77+B78</f>
        <v>146840000</v>
      </c>
      <c r="C79" s="78">
        <f>ROUND((C78+C77),-3)</f>
        <v>367000</v>
      </c>
      <c r="E79" s="81">
        <f>C67*0.025</f>
        <v>3670990.8363552252</v>
      </c>
    </row>
    <row r="80" spans="1:7" ht="13.9" thickBot="1">
      <c r="A80" s="742"/>
      <c r="B80" s="231"/>
      <c r="C80" s="743"/>
    </row>
    <row r="81" spans="1:5" ht="22.35" customHeight="1" thickBot="1">
      <c r="A81" s="455" t="s">
        <v>332</v>
      </c>
      <c r="B81" s="456"/>
      <c r="C81" s="873" t="str">
        <f>'Development Program'!B29</f>
        <v>South Mixed Use Site</v>
      </c>
    </row>
    <row r="82" spans="1:5" ht="48" customHeight="1" thickBot="1">
      <c r="A82" s="79"/>
      <c r="B82" s="744" t="s">
        <v>333</v>
      </c>
      <c r="C82" s="744"/>
    </row>
    <row r="83" spans="1:5" ht="36.75" customHeight="1">
      <c r="A83" s="745" t="s">
        <v>334</v>
      </c>
      <c r="B83" s="747">
        <f>ROUND(D42,-2)</f>
        <v>210799200</v>
      </c>
      <c r="C83" s="747"/>
    </row>
    <row r="84" spans="1:5" ht="29.25" customHeight="1" thickBot="1">
      <c r="A84" s="874">
        <v>0.02</v>
      </c>
      <c r="B84" s="875">
        <f>(-ROUND(A84*B83,-2))</f>
        <v>-4216000</v>
      </c>
      <c r="C84" s="750"/>
    </row>
    <row r="85" spans="1:5" ht="37.5" customHeight="1" thickTop="1" thickBot="1">
      <c r="A85" s="751" t="s">
        <v>335</v>
      </c>
      <c r="B85" s="80">
        <f>B83+B84</f>
        <v>206583200</v>
      </c>
      <c r="C85" s="80"/>
      <c r="E85" s="81"/>
    </row>
    <row r="86" spans="1:5" ht="29.25" customHeight="1">
      <c r="A86" s="745" t="s">
        <v>336</v>
      </c>
      <c r="B86" s="747">
        <f>-B77</f>
        <v>-102788000</v>
      </c>
      <c r="C86" s="747"/>
    </row>
    <row r="87" spans="1:5" ht="13.9" thickBot="1">
      <c r="A87" s="752" t="s">
        <v>337</v>
      </c>
      <c r="B87" s="750">
        <f>-B78</f>
        <v>-44052000</v>
      </c>
      <c r="C87" s="750"/>
    </row>
    <row r="88" spans="1:5" ht="14.45" thickTop="1" thickBot="1">
      <c r="A88" s="156" t="s">
        <v>338</v>
      </c>
      <c r="B88" s="82">
        <f>ROUND(B85+B86+B87,-2)</f>
        <v>59743200</v>
      </c>
      <c r="C88" s="82"/>
      <c r="D88" s="83"/>
    </row>
    <row r="89" spans="1:5" ht="13.9" thickBot="1">
      <c r="A89" s="754" t="s">
        <v>339</v>
      </c>
      <c r="B89" s="755"/>
      <c r="C89" s="756"/>
    </row>
    <row r="90" spans="1:5" ht="13.15">
      <c r="A90" s="757" t="s">
        <v>340</v>
      </c>
      <c r="B90" s="758">
        <f>ROUND((B83)/B10,-2)</f>
        <v>527000</v>
      </c>
      <c r="C90" s="758"/>
    </row>
    <row r="91" spans="1:5" ht="23.25" customHeight="1" thickBot="1">
      <c r="A91" s="759" t="s">
        <v>341</v>
      </c>
      <c r="B91" s="760">
        <f>B85/B10</f>
        <v>516458</v>
      </c>
      <c r="C91" s="760"/>
    </row>
    <row r="92" spans="1:5" ht="14.45" hidden="1" customHeight="1">
      <c r="A92" s="761" t="s">
        <v>342</v>
      </c>
      <c r="B92" s="762"/>
      <c r="C92" s="763"/>
    </row>
    <row r="93" spans="1:5" ht="13.9" thickBot="1">
      <c r="A93" s="742"/>
      <c r="B93" s="84"/>
      <c r="C93" s="84"/>
    </row>
    <row r="94" spans="1:5" ht="29.25" customHeight="1">
      <c r="A94" s="85"/>
      <c r="B94" s="744" t="s">
        <v>333</v>
      </c>
      <c r="C94" s="744"/>
    </row>
    <row r="95" spans="1:5" ht="13.15">
      <c r="A95" s="764" t="s">
        <v>343</v>
      </c>
      <c r="B95" s="765">
        <f>(B88+B78)/B78</f>
        <v>2.3561972214655409</v>
      </c>
      <c r="C95" s="765"/>
    </row>
    <row r="96" spans="1:5" ht="23.25" customHeight="1">
      <c r="A96" s="766" t="s">
        <v>344</v>
      </c>
      <c r="B96" s="767">
        <f>'C Draw'!B38</f>
        <v>0.32655743102143009</v>
      </c>
      <c r="C96" s="767"/>
      <c r="D96" s="86"/>
    </row>
    <row r="97" spans="1:4" ht="23.25" customHeight="1">
      <c r="A97" s="766" t="s">
        <v>345</v>
      </c>
      <c r="B97" s="767">
        <f>'C Draw'!B43</f>
        <v>0.19778112967790484</v>
      </c>
      <c r="C97" s="767"/>
      <c r="D97" s="86"/>
    </row>
    <row r="98" spans="1:4" ht="23.25" customHeight="1">
      <c r="A98" s="764" t="s">
        <v>346</v>
      </c>
      <c r="B98" s="768">
        <f>D41/B77</f>
        <v>0.10254076351325057</v>
      </c>
      <c r="C98" s="768"/>
    </row>
    <row r="99" spans="1:4" ht="23.25" customHeight="1">
      <c r="A99" s="764" t="s">
        <v>347</v>
      </c>
      <c r="B99" s="769">
        <f>C42</f>
        <v>0.05</v>
      </c>
      <c r="C99" s="769"/>
    </row>
    <row r="106" spans="1:4" ht="23.25" hidden="1" customHeight="1" thickBot="1"/>
    <row r="112" spans="1:4" ht="23.25" customHeight="1">
      <c r="A112" s="183"/>
      <c r="B112" s="183"/>
      <c r="C112" s="183"/>
      <c r="D112" s="42"/>
    </row>
  </sheetData>
  <mergeCells count="16">
    <mergeCell ref="E64:F64"/>
    <mergeCell ref="E65:F65"/>
    <mergeCell ref="B30:C30"/>
    <mergeCell ref="A1:C1"/>
    <mergeCell ref="D1:E1"/>
    <mergeCell ref="C27:D27"/>
    <mergeCell ref="A27:B27"/>
    <mergeCell ref="A43:B43"/>
    <mergeCell ref="C43:D43"/>
    <mergeCell ref="A89:C89"/>
    <mergeCell ref="A92:C92"/>
    <mergeCell ref="B31:C31"/>
    <mergeCell ref="B36:C36"/>
    <mergeCell ref="B37:C37"/>
    <mergeCell ref="A73:B73"/>
    <mergeCell ref="A81:B81"/>
  </mergeCells>
  <printOptions horizontalCentered="1" verticalCentered="1"/>
  <pageMargins left="0.7" right="0.7" top="0.75" bottom="0.75" header="0.3" footer="0.3"/>
  <pageSetup scale="51" fitToHeight="0" orientation="landscape" horizontalDpi="4294967292" verticalDpi="4294967292" r:id="rId1"/>
  <headerFooter>
    <oddHeader>&amp;C&amp;"Times New Roman Bold,Bold"&amp;14&amp;K000000INVESTOR SHEET</oddHeader>
    <oddFooter>&amp;CPage &amp;P of &amp;N</oddFooter>
  </headerFooter>
  <rowBreaks count="3" manualBreakCount="3">
    <brk id="36" max="8" man="1"/>
    <brk id="55" max="8" man="1"/>
    <brk id="85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D0D48330F6CE4FB6B3AE62FA39CE46" ma:contentTypeVersion="18" ma:contentTypeDescription="Create a new document." ma:contentTypeScope="" ma:versionID="6029c9b328e49caaf1bfc5e9c1c5d402">
  <xsd:schema xmlns:xsd="http://www.w3.org/2001/XMLSchema" xmlns:xs="http://www.w3.org/2001/XMLSchema" xmlns:p="http://schemas.microsoft.com/office/2006/metadata/properties" xmlns:ns1="http://schemas.microsoft.com/sharepoint/v3" xmlns:ns2="07832773-9414-42b9-95c3-36a558d8f74c" xmlns:ns3="9f6012f1-210b-47d8-98a5-79507b18255d" targetNamespace="http://schemas.microsoft.com/office/2006/metadata/properties" ma:root="true" ma:fieldsID="acdeb425d2a7055c715a7d4969065827" ns1:_="" ns2:_="" ns3:_="">
    <xsd:import namespace="http://schemas.microsoft.com/sharepoint/v3"/>
    <xsd:import namespace="07832773-9414-42b9-95c3-36a558d8f74c"/>
    <xsd:import namespace="9f6012f1-210b-47d8-98a5-79507b182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32773-9414-42b9-95c3-36a558d8f7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44f5b13-403a-4dd3-b9ce-b7b6c8a66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12f1-210b-47d8-98a5-79507b182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396aa7e-ad57-49d2-b18b-708832d3d098}" ma:internalName="TaxCatchAll" ma:showField="CatchAllData" ma:web="9f6012f1-210b-47d8-98a5-79507b182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832773-9414-42b9-95c3-36a558d8f74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9f6012f1-210b-47d8-98a5-79507b18255d" xsi:nil="true"/>
  </documentManagement>
</p:properties>
</file>

<file path=customXml/itemProps1.xml><?xml version="1.0" encoding="utf-8"?>
<ds:datastoreItem xmlns:ds="http://schemas.openxmlformats.org/officeDocument/2006/customXml" ds:itemID="{8222B5E8-A5F9-4B93-BF9C-63C7E9F57C11}"/>
</file>

<file path=customXml/itemProps2.xml><?xml version="1.0" encoding="utf-8"?>
<ds:datastoreItem xmlns:ds="http://schemas.openxmlformats.org/officeDocument/2006/customXml" ds:itemID="{C9663C87-CDAA-4A2F-9CA6-018325680FDA}"/>
</file>

<file path=customXml/itemProps3.xml><?xml version="1.0" encoding="utf-8"?>
<ds:datastoreItem xmlns:ds="http://schemas.openxmlformats.org/officeDocument/2006/customXml" ds:itemID="{8EA958F3-F430-43FD-B3C6-6C4F0E201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Charles A. Long Properties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A. Long</dc:creator>
  <cp:keywords/>
  <dc:description/>
  <cp:lastModifiedBy>Jami Pasquinelli</cp:lastModifiedBy>
  <cp:revision/>
  <dcterms:created xsi:type="dcterms:W3CDTF">2011-07-11T21:17:46Z</dcterms:created>
  <dcterms:modified xsi:type="dcterms:W3CDTF">2023-01-25T20:02:46Z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388465-aeed-4329-a493-dfb4cee22503_Enabled">
    <vt:lpwstr>true</vt:lpwstr>
  </property>
  <property fmtid="{D5CDD505-2E9C-101B-9397-08002B2CF9AE}" pid="3" name="MSIP_Label_70388465-aeed-4329-a493-dfb4cee22503_SetDate">
    <vt:lpwstr>2022-12-01T14:29:01Z</vt:lpwstr>
  </property>
  <property fmtid="{D5CDD505-2E9C-101B-9397-08002B2CF9AE}" pid="4" name="MSIP_Label_70388465-aeed-4329-a493-dfb4cee22503_Method">
    <vt:lpwstr>Standard</vt:lpwstr>
  </property>
  <property fmtid="{D5CDD505-2E9C-101B-9397-08002B2CF9AE}" pid="5" name="MSIP_Label_70388465-aeed-4329-a493-dfb4cee22503_Name">
    <vt:lpwstr>defa4170-0d19-0005-0004-bc88714345d2</vt:lpwstr>
  </property>
  <property fmtid="{D5CDD505-2E9C-101B-9397-08002B2CF9AE}" pid="6" name="MSIP_Label_70388465-aeed-4329-a493-dfb4cee22503_SiteId">
    <vt:lpwstr>c733f279-2e57-447e-b549-b435d7bcf45e</vt:lpwstr>
  </property>
  <property fmtid="{D5CDD505-2E9C-101B-9397-08002B2CF9AE}" pid="7" name="MSIP_Label_70388465-aeed-4329-a493-dfb4cee22503_ActionId">
    <vt:lpwstr>c09dddd2-dd9a-4658-94bd-9604302b5a94</vt:lpwstr>
  </property>
  <property fmtid="{D5CDD505-2E9C-101B-9397-08002B2CF9AE}" pid="8" name="MSIP_Label_70388465-aeed-4329-a493-dfb4cee22503_ContentBits">
    <vt:lpwstr>0</vt:lpwstr>
  </property>
  <property fmtid="{D5CDD505-2E9C-101B-9397-08002B2CF9AE}" pid="9" name="ContentTypeId">
    <vt:lpwstr>0x01010007D0D48330F6CE4FB6B3AE62FA39CE46</vt:lpwstr>
  </property>
  <property fmtid="{D5CDD505-2E9C-101B-9397-08002B2CF9AE}" pid="10" name="MediaServiceImageTags">
    <vt:lpwstr/>
  </property>
</Properties>
</file>