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bridg\Desktop\ULI 2024\"/>
    </mc:Choice>
  </mc:AlternateContent>
  <xr:revisionPtr revIDLastSave="0" documentId="13_ncr:1_{661B7D8E-3447-4CC2-B0D4-21DBB839AB97}" xr6:coauthVersionLast="47" xr6:coauthVersionMax="47" xr10:uidLastSave="{00000000-0000-0000-0000-000000000000}"/>
  <bookViews>
    <workbookView xWindow="-120" yWindow="-120" windowWidth="24240" windowHeight="13020" tabRatio="963" activeTab="2" xr2:uid="{00000000-000D-0000-FFFF-FFFF00000000}"/>
  </bookViews>
  <sheets>
    <sheet name="Market Research" sheetId="141" r:id="rId1"/>
    <sheet name="Assumptions" sheetId="142" r:id="rId2"/>
    <sheet name="Development Program" sheetId="140" r:id="rId3"/>
    <sheet name="Types of Development" sheetId="163" r:id="rId4"/>
    <sheet name="Courthouse Financial " sheetId="149" r:id="rId5"/>
    <sheet name="Courthouse DRAW " sheetId="105" r:id="rId6"/>
    <sheet name="Yesler Financial" sheetId="164" r:id="rId7"/>
    <sheet name="Yesler DRAW" sheetId="165" r:id="rId8"/>
    <sheet name="Lower Cascade Financial" sheetId="150" r:id="rId9"/>
    <sheet name="Lower Cascade Draw " sheetId="154" r:id="rId10"/>
    <sheet name="Chinook Financial" sheetId="153" r:id="rId11"/>
    <sheet name="Chinook Draw" sheetId="156" r:id="rId12"/>
    <sheet name="4th Street Financial " sheetId="169" r:id="rId13"/>
    <sheet name="4th Street Draw" sheetId="170" r:id="rId14"/>
    <sheet name="Upper Cascade Financial" sheetId="171" r:id="rId15"/>
    <sheet name="Upper Cascade Draw " sheetId="172" r:id="rId16"/>
    <sheet name="Rainier Tower Financial " sheetId="152" r:id="rId17"/>
    <sheet name="Rainier Tower Draw" sheetId="162" r:id="rId18"/>
    <sheet name="All Components Draw" sheetId="159" r:id="rId19"/>
    <sheet name="G Financial" sheetId="160" state="hidden" r:id="rId20"/>
    <sheet name="G Draw" sheetId="155" state="hidden" r:id="rId21"/>
    <sheet name="F Draw" sheetId="158" state="hidden" r:id="rId22"/>
    <sheet name="F Financial" sheetId="157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a1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10" hidden="1">[1]A!#REF!</definedName>
    <definedName name="_Fill" localSheetId="4" hidden="1">[1]A!#REF!</definedName>
    <definedName name="_Fill" localSheetId="2" hidden="1">[1]A!#REF!</definedName>
    <definedName name="_Fill" localSheetId="22" hidden="1">[1]A!#REF!</definedName>
    <definedName name="_Fill" localSheetId="19" hidden="1">[1]A!#REF!</definedName>
    <definedName name="_Fill" localSheetId="8" hidden="1">[1]A!#REF!</definedName>
    <definedName name="_Fill" localSheetId="16" hidden="1">[1]A!#REF!</definedName>
    <definedName name="_Fill" localSheetId="14" hidden="1">[1]A!#REF!</definedName>
    <definedName name="_Fill" localSheetId="6" hidden="1">[1]A!#REF!</definedName>
    <definedName name="_Fill" hidden="1">[1]A!#REF!</definedName>
    <definedName name="_Key1" localSheetId="10" hidden="1">'[2]H-INPUT'!#REF!</definedName>
    <definedName name="_Key1" localSheetId="4" hidden="1">'[2]H-INPUT'!#REF!</definedName>
    <definedName name="_Key1" localSheetId="2" hidden="1">'[2]H-INPUT'!#REF!</definedName>
    <definedName name="_Key1" localSheetId="22" hidden="1">'[2]H-INPUT'!#REF!</definedName>
    <definedName name="_Key1" localSheetId="19" hidden="1">'[2]H-INPUT'!#REF!</definedName>
    <definedName name="_Key1" localSheetId="8" hidden="1">'[2]H-INPUT'!#REF!</definedName>
    <definedName name="_Key1" localSheetId="16" hidden="1">'[2]H-INPUT'!#REF!</definedName>
    <definedName name="_Key1" localSheetId="14" hidden="1">'[2]H-INPUT'!#REF!</definedName>
    <definedName name="_Key1" localSheetId="6" hidden="1">'[2]H-INPUT'!#REF!</definedName>
    <definedName name="_Key1" hidden="1">'[2]H-INPUT'!#REF!</definedName>
    <definedName name="_Key2" localSheetId="10" hidden="1">#REF!</definedName>
    <definedName name="_Key2" localSheetId="4" hidden="1">#REF!</definedName>
    <definedName name="_Key2" localSheetId="2" hidden="1">#REF!</definedName>
    <definedName name="_Key2" localSheetId="22" hidden="1">#REF!</definedName>
    <definedName name="_Key2" localSheetId="19" hidden="1">#REF!</definedName>
    <definedName name="_Key2" localSheetId="8" hidden="1">#REF!</definedName>
    <definedName name="_Key2" localSheetId="16" hidden="1">#REF!</definedName>
    <definedName name="_Key2" localSheetId="14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ort" localSheetId="10" hidden="1">#REF!</definedName>
    <definedName name="_Sort" localSheetId="4" hidden="1">#REF!</definedName>
    <definedName name="_Sort" localSheetId="2" hidden="1">#REF!</definedName>
    <definedName name="_Sort" localSheetId="22" hidden="1">#REF!</definedName>
    <definedName name="_Sort" localSheetId="19" hidden="1">#REF!</definedName>
    <definedName name="_Sort" localSheetId="8" hidden="1">#REF!</definedName>
    <definedName name="_Sort" localSheetId="16" hidden="1">#REF!</definedName>
    <definedName name="_Sort" localSheetId="14" hidden="1">#REF!</definedName>
    <definedName name="_Sort" localSheetId="6" hidden="1">#REF!</definedName>
    <definedName name="_Sort" hidden="1">#REF!</definedName>
    <definedName name="_Table1_In1" localSheetId="10" hidden="1">#REF!</definedName>
    <definedName name="_Table1_In1" localSheetId="4" hidden="1">#REF!</definedName>
    <definedName name="_Table1_In1" localSheetId="2" hidden="1">#REF!</definedName>
    <definedName name="_Table1_In1" localSheetId="22" hidden="1">#REF!</definedName>
    <definedName name="_Table1_In1" localSheetId="19" hidden="1">#REF!</definedName>
    <definedName name="_Table1_In1" localSheetId="8" hidden="1">#REF!</definedName>
    <definedName name="_Table1_In1" localSheetId="16" hidden="1">#REF!</definedName>
    <definedName name="_Table1_In1" localSheetId="14" hidden="1">#REF!</definedName>
    <definedName name="_Table1_In1" localSheetId="6" hidden="1">#REF!</definedName>
    <definedName name="_Table1_In1" hidden="1">#REF!</definedName>
    <definedName name="_Table1_Out" localSheetId="10" hidden="1">#REF!</definedName>
    <definedName name="_Table1_Out" localSheetId="4" hidden="1">#REF!</definedName>
    <definedName name="_Table1_Out" localSheetId="2" hidden="1">#REF!</definedName>
    <definedName name="_Table1_Out" localSheetId="22" hidden="1">#REF!</definedName>
    <definedName name="_Table1_Out" localSheetId="19" hidden="1">#REF!</definedName>
    <definedName name="_Table1_Out" localSheetId="8" hidden="1">#REF!</definedName>
    <definedName name="_Table1_Out" localSheetId="16" hidden="1">#REF!</definedName>
    <definedName name="_Table1_Out" localSheetId="14" hidden="1">#REF!</definedName>
    <definedName name="_Table1_Out" localSheetId="6" hidden="1">#REF!</definedName>
    <definedName name="_Table1_Out" hidden="1">#REF!</definedName>
    <definedName name="_Table2_Out" localSheetId="10" hidden="1">[3]General!#REF!</definedName>
    <definedName name="_Table2_Out" localSheetId="4" hidden="1">[3]General!#REF!</definedName>
    <definedName name="_Table2_Out" localSheetId="2" hidden="1">[3]General!#REF!</definedName>
    <definedName name="_Table2_Out" localSheetId="22" hidden="1">[3]General!#REF!</definedName>
    <definedName name="_Table2_Out" localSheetId="19" hidden="1">[3]General!#REF!</definedName>
    <definedName name="_Table2_Out" localSheetId="8" hidden="1">[3]General!#REF!</definedName>
    <definedName name="_Table2_Out" localSheetId="16" hidden="1">[3]General!#REF!</definedName>
    <definedName name="_Table2_Out" localSheetId="14" hidden="1">[3]General!#REF!</definedName>
    <definedName name="_Table2_Out" localSheetId="6" hidden="1">[3]General!#REF!</definedName>
    <definedName name="_Table2_Out" hidden="1">[3]General!#REF!</definedName>
    <definedName name="_x1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hidden="1">{"Assump",#N/A,TRUE,"Proforma";"first",#N/A,TRUE,"Proforma";"second",#N/A,TRUE,"Proforma";"lease1",#N/A,TRUE,"Proforma";"lease2",#N/A,TRUE,"Proforma"}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10">[4]Frontsheet!#REF!</definedName>
    <definedName name="AADSFD" localSheetId="4">[4]Frontsheet!#REF!</definedName>
    <definedName name="AADSFD" localSheetId="2">[4]Frontsheet!#REF!</definedName>
    <definedName name="AADSFD" localSheetId="22">[4]Frontsheet!#REF!</definedName>
    <definedName name="AADSFD" localSheetId="19">[4]Frontsheet!#REF!</definedName>
    <definedName name="AADSFD" localSheetId="8">[4]Frontsheet!#REF!</definedName>
    <definedName name="AADSFD" localSheetId="16">[4]Frontsheet!#REF!</definedName>
    <definedName name="AADSFD" localSheetId="14">[4]Frontsheet!#REF!</definedName>
    <definedName name="AADSFD" localSheetId="6">[4]Frontsheet!#REF!</definedName>
    <definedName name="AADSFD">[4]Frontsheet!#REF!</definedName>
    <definedName name="ac" localSheetId="10">[4]Frontsheet!#REF!</definedName>
    <definedName name="ac" localSheetId="4">[4]Frontsheet!#REF!</definedName>
    <definedName name="ac" localSheetId="2">[4]Frontsheet!#REF!</definedName>
    <definedName name="ac" localSheetId="22">[4]Frontsheet!#REF!</definedName>
    <definedName name="ac" localSheetId="19">[4]Frontsheet!#REF!</definedName>
    <definedName name="ac" localSheetId="8">[4]Frontsheet!#REF!</definedName>
    <definedName name="ac" localSheetId="16">[4]Frontsheet!#REF!</definedName>
    <definedName name="ac" localSheetId="14">[4]Frontsheet!#REF!</definedName>
    <definedName name="ac" localSheetId="6">[4]Frontsheet!#REF!</definedName>
    <definedName name="ac">[4]Frontsheet!#REF!</definedName>
    <definedName name="alt" localSheetId="10">[4]Frontsheet!#REF!</definedName>
    <definedName name="alt" localSheetId="4">[4]Frontsheet!#REF!</definedName>
    <definedName name="alt" localSheetId="2">[4]Frontsheet!#REF!</definedName>
    <definedName name="alt" localSheetId="22">[4]Frontsheet!#REF!</definedName>
    <definedName name="alt" localSheetId="19">[4]Frontsheet!#REF!</definedName>
    <definedName name="alt" localSheetId="8">[4]Frontsheet!#REF!</definedName>
    <definedName name="alt" localSheetId="16">[4]Frontsheet!#REF!</definedName>
    <definedName name="alt" localSheetId="14">[4]Frontsheet!#REF!</definedName>
    <definedName name="alt" localSheetId="6">[4]Frontsheet!#REF!</definedName>
    <definedName name="alt">[4]Frontsheet!#REF!</definedName>
    <definedName name="anscount" hidden="1">1</definedName>
    <definedName name="ASA" localSheetId="10">[4]Frontsheet!#REF!</definedName>
    <definedName name="ASA" localSheetId="4">[4]Frontsheet!#REF!</definedName>
    <definedName name="ASA" localSheetId="2">[4]Frontsheet!#REF!</definedName>
    <definedName name="ASA" localSheetId="22">[4]Frontsheet!#REF!</definedName>
    <definedName name="ASA" localSheetId="19">[4]Frontsheet!#REF!</definedName>
    <definedName name="ASA" localSheetId="8">[4]Frontsheet!#REF!</definedName>
    <definedName name="ASA" localSheetId="16">[4]Frontsheet!#REF!</definedName>
    <definedName name="ASA" localSheetId="14">[4]Frontsheet!#REF!</definedName>
    <definedName name="ASA" localSheetId="6">[4]Frontsheet!#REF!</definedName>
    <definedName name="ASA">[4]Frontsheet!#REF!</definedName>
    <definedName name="aw" localSheetId="10">[4]Frontsheet!#REF!</definedName>
    <definedName name="aw" localSheetId="4">[4]Frontsheet!#REF!</definedName>
    <definedName name="aw" localSheetId="2">[4]Frontsheet!#REF!</definedName>
    <definedName name="aw" localSheetId="22">[4]Frontsheet!#REF!</definedName>
    <definedName name="aw" localSheetId="19">[4]Frontsheet!#REF!</definedName>
    <definedName name="aw" localSheetId="8">[4]Frontsheet!#REF!</definedName>
    <definedName name="aw" localSheetId="16">[4]Frontsheet!#REF!</definedName>
    <definedName name="aw" localSheetId="14">[4]Frontsheet!#REF!</definedName>
    <definedName name="aw" localSheetId="6">[4]Frontsheet!#REF!</definedName>
    <definedName name="aw">[4]Frontsheet!#REF!</definedName>
    <definedName name="b" hidden="1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10">[4]Frontsheet!#REF!</definedName>
    <definedName name="cs" localSheetId="4">[4]Frontsheet!#REF!</definedName>
    <definedName name="cs" localSheetId="2">[4]Frontsheet!#REF!</definedName>
    <definedName name="cs" localSheetId="22">[4]Frontsheet!#REF!</definedName>
    <definedName name="cs" localSheetId="19">[4]Frontsheet!#REF!</definedName>
    <definedName name="cs" localSheetId="8">[4]Frontsheet!#REF!</definedName>
    <definedName name="cs" localSheetId="16">[4]Frontsheet!#REF!</definedName>
    <definedName name="cs" localSheetId="14">[4]Frontsheet!#REF!</definedName>
    <definedName name="cs" localSheetId="6">[4]Frontsheet!#REF!</definedName>
    <definedName name="cs">[4]Frontsheet!#REF!</definedName>
    <definedName name="ct" localSheetId="10">[4]Frontsheet!#REF!</definedName>
    <definedName name="ct" localSheetId="4">[4]Frontsheet!#REF!</definedName>
    <definedName name="ct" localSheetId="2">[4]Frontsheet!#REF!</definedName>
    <definedName name="ct" localSheetId="22">[4]Frontsheet!#REF!</definedName>
    <definedName name="ct" localSheetId="19">[4]Frontsheet!#REF!</definedName>
    <definedName name="ct" localSheetId="8">[4]Frontsheet!#REF!</definedName>
    <definedName name="ct" localSheetId="16">[4]Frontsheet!#REF!</definedName>
    <definedName name="ct" localSheetId="14">[4]Frontsheet!#REF!</definedName>
    <definedName name="ct" localSheetId="6">[4]Frontsheet!#REF!</definedName>
    <definedName name="ct">[4]Frontsheet!#REF!</definedName>
    <definedName name="ddgfeerew" localSheetId="10">[4]Frontsheet!#REF!</definedName>
    <definedName name="ddgfeerew" localSheetId="4">[4]Frontsheet!#REF!</definedName>
    <definedName name="ddgfeerew" localSheetId="2">[4]Frontsheet!#REF!</definedName>
    <definedName name="ddgfeerew" localSheetId="22">[4]Frontsheet!#REF!</definedName>
    <definedName name="ddgfeerew" localSheetId="19">[4]Frontsheet!#REF!</definedName>
    <definedName name="ddgfeerew" localSheetId="8">[4]Frontsheet!#REF!</definedName>
    <definedName name="ddgfeerew" localSheetId="16">[4]Frontsheet!#REF!</definedName>
    <definedName name="ddgfeerew" localSheetId="14">[4]Frontsheet!#REF!</definedName>
    <definedName name="ddgfeerew" localSheetId="6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10">[4]Frontsheet!#REF!</definedName>
    <definedName name="dfsdf" localSheetId="4">[4]Frontsheet!#REF!</definedName>
    <definedName name="dfsdf" localSheetId="2">[4]Frontsheet!#REF!</definedName>
    <definedName name="dfsdf" localSheetId="22">[4]Frontsheet!#REF!</definedName>
    <definedName name="dfsdf" localSheetId="19">[4]Frontsheet!#REF!</definedName>
    <definedName name="dfsdf" localSheetId="8">[4]Frontsheet!#REF!</definedName>
    <definedName name="dfsdf" localSheetId="16">[4]Frontsheet!#REF!</definedName>
    <definedName name="dfsdf" localSheetId="14">[4]Frontsheet!#REF!</definedName>
    <definedName name="dfsdf" localSheetId="6">[4]Frontsheet!#REF!</definedName>
    <definedName name="dfsdf">[4]Frontsheet!#REF!</definedName>
    <definedName name="dw" localSheetId="10">[4]Frontsheet!#REF!</definedName>
    <definedName name="dw" localSheetId="4">[4]Frontsheet!#REF!</definedName>
    <definedName name="dw" localSheetId="2">[4]Frontsheet!#REF!</definedName>
    <definedName name="dw" localSheetId="22">[4]Frontsheet!#REF!</definedName>
    <definedName name="dw" localSheetId="19">[4]Frontsheet!#REF!</definedName>
    <definedName name="dw" localSheetId="8">[4]Frontsheet!#REF!</definedName>
    <definedName name="dw" localSheetId="16">[4]Frontsheet!#REF!</definedName>
    <definedName name="dw" localSheetId="14">[4]Frontsheet!#REF!</definedName>
    <definedName name="dw" localSheetId="6">[4]Frontsheet!#REF!</definedName>
    <definedName name="dw">[4]Frontsheet!#REF!</definedName>
    <definedName name="ee" hidden="1">{"Assump",#N/A,TRUE,"Proforma";"first",#N/A,TRUE,"Proforma";"second",#N/A,TRUE,"Proforma";"lease1",#N/A,TRUE,"Proforma";"lease2",#N/A,TRUE,"Proforma"}</definedName>
    <definedName name="el" localSheetId="10">[4]Frontsheet!#REF!</definedName>
    <definedName name="el" localSheetId="4">[4]Frontsheet!#REF!</definedName>
    <definedName name="el" localSheetId="2">[4]Frontsheet!#REF!</definedName>
    <definedName name="el" localSheetId="22">[4]Frontsheet!#REF!</definedName>
    <definedName name="el" localSheetId="19">[4]Frontsheet!#REF!</definedName>
    <definedName name="el" localSheetId="8">[4]Frontsheet!#REF!</definedName>
    <definedName name="el" localSheetId="16">[4]Frontsheet!#REF!</definedName>
    <definedName name="el" localSheetId="14">[4]Frontsheet!#REF!</definedName>
    <definedName name="el" localSheetId="6">[4]Frontsheet!#REF!</definedName>
    <definedName name="el">[4]Frontsheet!#REF!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hidden="1">{"Assump",#N/A,TRUE,"Proforma";"first",#N/A,TRUE,"Proforma";"second",#N/A,TRUE,"Proforma";"lease1",#N/A,TRUE,"Proforma";"lease2",#N/A,TRUE,"Proforma"}</definedName>
    <definedName name="EW" localSheetId="10">[4]Frontsheet!#REF!</definedName>
    <definedName name="EW" localSheetId="4">[4]Frontsheet!#REF!</definedName>
    <definedName name="EW" localSheetId="2">[4]Frontsheet!#REF!</definedName>
    <definedName name="EW" localSheetId="22">[4]Frontsheet!#REF!</definedName>
    <definedName name="EW" localSheetId="19">[4]Frontsheet!#REF!</definedName>
    <definedName name="EW" localSheetId="8">[4]Frontsheet!#REF!</definedName>
    <definedName name="EW" localSheetId="16">[4]Frontsheet!#REF!</definedName>
    <definedName name="EW" localSheetId="14">[4]Frontsheet!#REF!</definedName>
    <definedName name="EW" localSheetId="6">[4]Frontsheet!#REF!</definedName>
    <definedName name="EW">[4]Frontsheet!#REF!</definedName>
    <definedName name="f" localSheetId="10">[4]Frontsheet!#REF!</definedName>
    <definedName name="f" localSheetId="4">[4]Frontsheet!#REF!</definedName>
    <definedName name="f" localSheetId="2">[4]Frontsheet!#REF!</definedName>
    <definedName name="f" localSheetId="22">[4]Frontsheet!#REF!</definedName>
    <definedName name="f" localSheetId="19">[4]Frontsheet!#REF!</definedName>
    <definedName name="f" localSheetId="8">[4]Frontsheet!#REF!</definedName>
    <definedName name="f" localSheetId="16">[4]Frontsheet!#REF!</definedName>
    <definedName name="f" localSheetId="14">[4]Frontsheet!#REF!</definedName>
    <definedName name="f" localSheetId="6">[4]Frontsheet!#REF!</definedName>
    <definedName name="f">[4]Frontsheet!#REF!</definedName>
    <definedName name="fe" localSheetId="10">[4]Frontsheet!#REF!</definedName>
    <definedName name="fe" localSheetId="4">[4]Frontsheet!#REF!</definedName>
    <definedName name="fe" localSheetId="2">[4]Frontsheet!#REF!</definedName>
    <definedName name="fe" localSheetId="22">[4]Frontsheet!#REF!</definedName>
    <definedName name="fe" localSheetId="19">[4]Frontsheet!#REF!</definedName>
    <definedName name="fe" localSheetId="8">[4]Frontsheet!#REF!</definedName>
    <definedName name="fe" localSheetId="16">[4]Frontsheet!#REF!</definedName>
    <definedName name="fe" localSheetId="14">[4]Frontsheet!#REF!</definedName>
    <definedName name="fe" localSheetId="6">[4]Frontsheet!#REF!</definedName>
    <definedName name="fe">[4]Frontsheet!#REF!</definedName>
    <definedName name="FFFFF" localSheetId="10">[4]Frontsheet!#REF!</definedName>
    <definedName name="FFFFF" localSheetId="4">[4]Frontsheet!#REF!</definedName>
    <definedName name="FFFFF" localSheetId="2">[4]Frontsheet!#REF!</definedName>
    <definedName name="FFFFF" localSheetId="22">[4]Frontsheet!#REF!</definedName>
    <definedName name="FFFFF" localSheetId="19">[4]Frontsheet!#REF!</definedName>
    <definedName name="FFFFF" localSheetId="8">[4]Frontsheet!#REF!</definedName>
    <definedName name="FFFFF" localSheetId="16">[4]Frontsheet!#REF!</definedName>
    <definedName name="FFFFF" localSheetId="14">[4]Frontsheet!#REF!</definedName>
    <definedName name="FFFFF" localSheetId="6">[4]Frontsheet!#REF!</definedName>
    <definedName name="FFFFF">[4]Frontsheet!#REF!</definedName>
    <definedName name="FJHJ" localSheetId="10">[4]Frontsheet!#REF!</definedName>
    <definedName name="FJHJ" localSheetId="4">[4]Frontsheet!#REF!</definedName>
    <definedName name="FJHJ" localSheetId="2">[4]Frontsheet!#REF!</definedName>
    <definedName name="FJHJ" localSheetId="22">[4]Frontsheet!#REF!</definedName>
    <definedName name="FJHJ" localSheetId="19">[4]Frontsheet!#REF!</definedName>
    <definedName name="FJHJ" localSheetId="8">[4]Frontsheet!#REF!</definedName>
    <definedName name="FJHJ" localSheetId="16">[4]Frontsheet!#REF!</definedName>
    <definedName name="FJHJ" localSheetId="14">[4]Frontsheet!#REF!</definedName>
    <definedName name="FJHJ" localSheetId="6">[4]Frontsheet!#REF!</definedName>
    <definedName name="FJHJ">[4]Frontsheet!#REF!</definedName>
    <definedName name="fo" localSheetId="10">#REF!</definedName>
    <definedName name="fo" localSheetId="4">#REF!</definedName>
    <definedName name="fo" localSheetId="2">#REF!</definedName>
    <definedName name="fo" localSheetId="22">#REF!</definedName>
    <definedName name="fo" localSheetId="19">#REF!</definedName>
    <definedName name="fo" localSheetId="8">#REF!</definedName>
    <definedName name="fo" localSheetId="16">#REF!</definedName>
    <definedName name="fo" localSheetId="14">#REF!</definedName>
    <definedName name="fo" localSheetId="6">#REF!</definedName>
    <definedName name="fo">#REF!</definedName>
    <definedName name="FORM" localSheetId="10">#REF!</definedName>
    <definedName name="FORM" localSheetId="4">#REF!</definedName>
    <definedName name="FORM" localSheetId="2">#REF!</definedName>
    <definedName name="FORM" localSheetId="22">#REF!</definedName>
    <definedName name="FORM" localSheetId="19">#REF!</definedName>
    <definedName name="FORM" localSheetId="8">#REF!</definedName>
    <definedName name="FORM" localSheetId="16">#REF!</definedName>
    <definedName name="FORM" localSheetId="14">#REF!</definedName>
    <definedName name="FORM" localSheetId="6">#REF!</definedName>
    <definedName name="FORM">#REF!</definedName>
    <definedName name="FURYUR" localSheetId="10">[4]Frontsheet!#REF!</definedName>
    <definedName name="FURYUR" localSheetId="4">[4]Frontsheet!#REF!</definedName>
    <definedName name="FURYUR" localSheetId="2">[4]Frontsheet!#REF!</definedName>
    <definedName name="FURYUR" localSheetId="22">[4]Frontsheet!#REF!</definedName>
    <definedName name="FURYUR" localSheetId="19">[4]Frontsheet!#REF!</definedName>
    <definedName name="FURYUR" localSheetId="8">[4]Frontsheet!#REF!</definedName>
    <definedName name="FURYUR" localSheetId="16">[4]Frontsheet!#REF!</definedName>
    <definedName name="FURYUR" localSheetId="14">[4]Frontsheet!#REF!</definedName>
    <definedName name="FURYUR" localSheetId="6">[4]Frontsheet!#REF!</definedName>
    <definedName name="FURYUR">[4]Frontsheet!#REF!</definedName>
    <definedName name="gl" localSheetId="10">[4]Frontsheet!#REF!</definedName>
    <definedName name="gl" localSheetId="4">[4]Frontsheet!#REF!</definedName>
    <definedName name="gl" localSheetId="2">[4]Frontsheet!#REF!</definedName>
    <definedName name="gl" localSheetId="22">[4]Frontsheet!#REF!</definedName>
    <definedName name="gl" localSheetId="19">[4]Frontsheet!#REF!</definedName>
    <definedName name="gl" localSheetId="8">[4]Frontsheet!#REF!</definedName>
    <definedName name="gl" localSheetId="16">[4]Frontsheet!#REF!</definedName>
    <definedName name="gl" localSheetId="14">[4]Frontsheet!#REF!</definedName>
    <definedName name="gl" localSheetId="6">[4]Frontsheet!#REF!</definedName>
    <definedName name="gl">[4]Frontsheet!#REF!</definedName>
    <definedName name="h" localSheetId="10">[4]Frontsheet!#REF!</definedName>
    <definedName name="h" localSheetId="4">[4]Frontsheet!#REF!</definedName>
    <definedName name="h" localSheetId="2">[4]Frontsheet!#REF!</definedName>
    <definedName name="h" localSheetId="22">[4]Frontsheet!#REF!</definedName>
    <definedName name="h" localSheetId="19">[4]Frontsheet!#REF!</definedName>
    <definedName name="h" localSheetId="8">[4]Frontsheet!#REF!</definedName>
    <definedName name="h" localSheetId="16">[4]Frontsheet!#REF!</definedName>
    <definedName name="h" localSheetId="14">[4]Frontsheet!#REF!</definedName>
    <definedName name="h" localSheetId="6">[4]Frontsheet!#REF!</definedName>
    <definedName name="h">[4]Frontsheet!#REF!</definedName>
    <definedName name="hjkhjlkgg" localSheetId="10">[4]Frontsheet!#REF!</definedName>
    <definedName name="hjkhjlkgg" localSheetId="4">[4]Frontsheet!#REF!</definedName>
    <definedName name="hjkhjlkgg" localSheetId="2">[4]Frontsheet!#REF!</definedName>
    <definedName name="hjkhjlkgg" localSheetId="22">[4]Frontsheet!#REF!</definedName>
    <definedName name="hjkhjlkgg" localSheetId="19">[4]Frontsheet!#REF!</definedName>
    <definedName name="hjkhjlkgg" localSheetId="8">[4]Frontsheet!#REF!</definedName>
    <definedName name="hjkhjlkgg" localSheetId="16">[4]Frontsheet!#REF!</definedName>
    <definedName name="hjkhjlkgg" localSheetId="14">[4]Frontsheet!#REF!</definedName>
    <definedName name="hjkhjlkgg" localSheetId="6">[4]Frontsheet!#REF!</definedName>
    <definedName name="hjkhjlkgg">[4]Frontsheet!#REF!</definedName>
    <definedName name="jkjkl" localSheetId="10">[4]Frontsheet!#REF!</definedName>
    <definedName name="jkjkl" localSheetId="4">[4]Frontsheet!#REF!</definedName>
    <definedName name="jkjkl" localSheetId="2">[4]Frontsheet!#REF!</definedName>
    <definedName name="jkjkl" localSheetId="22">[4]Frontsheet!#REF!</definedName>
    <definedName name="jkjkl" localSheetId="19">[4]Frontsheet!#REF!</definedName>
    <definedName name="jkjkl" localSheetId="8">[4]Frontsheet!#REF!</definedName>
    <definedName name="jkjkl" localSheetId="16">[4]Frontsheet!#REF!</definedName>
    <definedName name="jkjkl" localSheetId="14">[4]Frontsheet!#REF!</definedName>
    <definedName name="jkjkl" localSheetId="6">[4]Frontsheet!#REF!</definedName>
    <definedName name="jkjkl">[4]Frontsheet!#REF!</definedName>
    <definedName name="kb" localSheetId="10">[4]Frontsheet!#REF!</definedName>
    <definedName name="kb" localSheetId="4">[4]Frontsheet!#REF!</definedName>
    <definedName name="kb" localSheetId="2">[4]Frontsheet!#REF!</definedName>
    <definedName name="kb" localSheetId="22">[4]Frontsheet!#REF!</definedName>
    <definedName name="kb" localSheetId="19">[4]Frontsheet!#REF!</definedName>
    <definedName name="kb" localSheetId="8">[4]Frontsheet!#REF!</definedName>
    <definedName name="kb" localSheetId="16">[4]Frontsheet!#REF!</definedName>
    <definedName name="kb" localSheetId="14">[4]Frontsheet!#REF!</definedName>
    <definedName name="kb" localSheetId="6">[4]Frontsheet!#REF!</definedName>
    <definedName name="kb">[4]Frontsheet!#REF!</definedName>
    <definedName name="ke" localSheetId="10">[4]Frontsheet!#REF!</definedName>
    <definedName name="ke" localSheetId="4">[4]Frontsheet!#REF!</definedName>
    <definedName name="ke" localSheetId="2">[4]Frontsheet!#REF!</definedName>
    <definedName name="ke" localSheetId="22">[4]Frontsheet!#REF!</definedName>
    <definedName name="ke" localSheetId="19">[4]Frontsheet!#REF!</definedName>
    <definedName name="ke" localSheetId="8">[4]Frontsheet!#REF!</definedName>
    <definedName name="ke" localSheetId="16">[4]Frontsheet!#REF!</definedName>
    <definedName name="ke" localSheetId="14">[4]Frontsheet!#REF!</definedName>
    <definedName name="ke" localSheetId="6">[4]Frontsheet!#REF!</definedName>
    <definedName name="ke">[4]Frontsheet!#REF!</definedName>
    <definedName name="lk" localSheetId="10">[4]Frontsheet!#REF!</definedName>
    <definedName name="lk" localSheetId="4">[4]Frontsheet!#REF!</definedName>
    <definedName name="lk" localSheetId="2">[4]Frontsheet!#REF!</definedName>
    <definedName name="lk" localSheetId="22">[4]Frontsheet!#REF!</definedName>
    <definedName name="lk" localSheetId="19">[4]Frontsheet!#REF!</definedName>
    <definedName name="lk" localSheetId="8">[4]Frontsheet!#REF!</definedName>
    <definedName name="lk" localSheetId="16">[4]Frontsheet!#REF!</definedName>
    <definedName name="lk" localSheetId="14">[4]Frontsheet!#REF!</definedName>
    <definedName name="lk" localSheetId="6">[4]Frontsheet!#REF!</definedName>
    <definedName name="lk">[4]Frontsheet!#REF!</definedName>
    <definedName name="memo_description">[6]Lists!$D$4:$D$10</definedName>
    <definedName name="ml" localSheetId="10">[4]Frontsheet!#REF!</definedName>
    <definedName name="ml" localSheetId="4">[4]Frontsheet!#REF!</definedName>
    <definedName name="ml" localSheetId="2">[4]Frontsheet!#REF!</definedName>
    <definedName name="ml" localSheetId="22">[4]Frontsheet!#REF!</definedName>
    <definedName name="ml" localSheetId="19">[4]Frontsheet!#REF!</definedName>
    <definedName name="ml" localSheetId="8">[4]Frontsheet!#REF!</definedName>
    <definedName name="ml" localSheetId="16">[4]Frontsheet!#REF!</definedName>
    <definedName name="ml" localSheetId="14">[4]Frontsheet!#REF!</definedName>
    <definedName name="ml" localSheetId="6">[4]Frontsheet!#REF!</definedName>
    <definedName name="ml">[4]Frontsheet!#REF!</definedName>
    <definedName name="mw" localSheetId="10">[4]Frontsheet!#REF!</definedName>
    <definedName name="mw" localSheetId="4">[4]Frontsheet!#REF!</definedName>
    <definedName name="mw" localSheetId="2">[4]Frontsheet!#REF!</definedName>
    <definedName name="mw" localSheetId="22">[4]Frontsheet!#REF!</definedName>
    <definedName name="mw" localSheetId="19">[4]Frontsheet!#REF!</definedName>
    <definedName name="mw" localSheetId="8">[4]Frontsheet!#REF!</definedName>
    <definedName name="mw" localSheetId="16">[4]Frontsheet!#REF!</definedName>
    <definedName name="mw" localSheetId="14">[4]Frontsheet!#REF!</definedName>
    <definedName name="mw" localSheetId="6">[4]Frontsheet!#REF!</definedName>
    <definedName name="mw">[4]Frontsheet!#REF!</definedName>
    <definedName name="NEWDRAW" localSheetId="10">#REF!</definedName>
    <definedName name="NEWDRAW" localSheetId="4">#REF!</definedName>
    <definedName name="NEWDRAW" localSheetId="2">#REF!</definedName>
    <definedName name="NEWDRAW" localSheetId="22">#REF!</definedName>
    <definedName name="NEWDRAW" localSheetId="19">#REF!</definedName>
    <definedName name="NEWDRAW" localSheetId="8">#REF!</definedName>
    <definedName name="NEWDRAW" localSheetId="16">#REF!</definedName>
    <definedName name="NEWDRAW" localSheetId="14">#REF!</definedName>
    <definedName name="NEWDRAW" localSheetId="6">#REF!</definedName>
    <definedName name="NEWDRAW">#REF!</definedName>
    <definedName name="NvsEndTime">36465.4707604167</definedName>
    <definedName name="os" localSheetId="10">[4]Frontsheet!#REF!</definedName>
    <definedName name="os" localSheetId="4">[4]Frontsheet!#REF!</definedName>
    <definedName name="os" localSheetId="2">[4]Frontsheet!#REF!</definedName>
    <definedName name="os" localSheetId="22">[4]Frontsheet!#REF!</definedName>
    <definedName name="os" localSheetId="19">[4]Frontsheet!#REF!</definedName>
    <definedName name="os" localSheetId="8">[4]Frontsheet!#REF!</definedName>
    <definedName name="os" localSheetId="16">[4]Frontsheet!#REF!</definedName>
    <definedName name="os" localSheetId="14">[4]Frontsheet!#REF!</definedName>
    <definedName name="os" localSheetId="6">[4]Frontsheet!#REF!</definedName>
    <definedName name="os">[4]Frontsheet!#REF!</definedName>
    <definedName name="p" localSheetId="10">[4]Frontsheet!#REF!</definedName>
    <definedName name="p" localSheetId="4">[4]Frontsheet!#REF!</definedName>
    <definedName name="p" localSheetId="2">[4]Frontsheet!#REF!</definedName>
    <definedName name="p" localSheetId="22">[4]Frontsheet!#REF!</definedName>
    <definedName name="p" localSheetId="19">[4]Frontsheet!#REF!</definedName>
    <definedName name="p" localSheetId="8">[4]Frontsheet!#REF!</definedName>
    <definedName name="p" localSheetId="16">[4]Frontsheet!#REF!</definedName>
    <definedName name="p" localSheetId="14">[4]Frontsheet!#REF!</definedName>
    <definedName name="p" localSheetId="6">[4]Frontsheet!#REF!</definedName>
    <definedName name="p">[4]Frontsheet!#REF!</definedName>
    <definedName name="pa" localSheetId="10">[4]Frontsheet!#REF!</definedName>
    <definedName name="pa" localSheetId="4">[4]Frontsheet!#REF!</definedName>
    <definedName name="pa" localSheetId="2">[4]Frontsheet!#REF!</definedName>
    <definedName name="pa" localSheetId="22">[4]Frontsheet!#REF!</definedName>
    <definedName name="pa" localSheetId="19">[4]Frontsheet!#REF!</definedName>
    <definedName name="pa" localSheetId="8">[4]Frontsheet!#REF!</definedName>
    <definedName name="pa" localSheetId="16">[4]Frontsheet!#REF!</definedName>
    <definedName name="pa" localSheetId="14">[4]Frontsheet!#REF!</definedName>
    <definedName name="pa" localSheetId="6">[4]Frontsheet!#REF!</definedName>
    <definedName name="pa">[4]Frontsheet!#REF!</definedName>
    <definedName name="PD" localSheetId="10">#REF!</definedName>
    <definedName name="PD" localSheetId="4">#REF!</definedName>
    <definedName name="PD" localSheetId="2">#REF!</definedName>
    <definedName name="PD" localSheetId="22">#REF!</definedName>
    <definedName name="PD" localSheetId="19">#REF!</definedName>
    <definedName name="PD" localSheetId="8">#REF!</definedName>
    <definedName name="PD" localSheetId="16">#REF!</definedName>
    <definedName name="PD" localSheetId="14">#REF!</definedName>
    <definedName name="PD" localSheetId="6">#REF!</definedName>
    <definedName name="PD">#REF!</definedName>
    <definedName name="pipeline_status">[6]Lists!$F$4:$F$8</definedName>
    <definedName name="pp" localSheetId="10">[4]Frontsheet!#REF!</definedName>
    <definedName name="pp" localSheetId="4">[4]Frontsheet!#REF!</definedName>
    <definedName name="pp" localSheetId="2">[4]Frontsheet!#REF!</definedName>
    <definedName name="pp" localSheetId="22">[4]Frontsheet!#REF!</definedName>
    <definedName name="pp" localSheetId="19">[4]Frontsheet!#REF!</definedName>
    <definedName name="pp" localSheetId="8">[4]Frontsheet!#REF!</definedName>
    <definedName name="pp" localSheetId="16">[4]Frontsheet!#REF!</definedName>
    <definedName name="pp" localSheetId="14">[4]Frontsheet!#REF!</definedName>
    <definedName name="pp" localSheetId="6">[4]Frontsheet!#REF!</definedName>
    <definedName name="pp">[4]Frontsheet!#REF!</definedName>
    <definedName name="_xlnm.Print_Area" localSheetId="10">'Chinook Financial'!$A$1:$E$98</definedName>
    <definedName name="_xlnm.Print_Area" localSheetId="5">'Courthouse DRAW '!$A$1:$BY$52</definedName>
    <definedName name="_xlnm.Print_Area" localSheetId="4">'Courthouse Financial '!$A$1:$E$87</definedName>
    <definedName name="_xlnm.Print_Area" localSheetId="2">'Development Program'!$B$2:$N$30</definedName>
    <definedName name="_xlnm.Print_Area" localSheetId="22">'F Financial'!$A$1:$E$109</definedName>
    <definedName name="_xlnm.Print_Area" localSheetId="19">'G Financial'!$A$1:$E$109</definedName>
    <definedName name="_xlnm.Print_Area" localSheetId="8">'Lower Cascade Financial'!$A$2:$E$115</definedName>
    <definedName name="_xlnm.Print_Area" localSheetId="16">'Rainier Tower Financial '!$A$1:$E$102</definedName>
    <definedName name="_xlnm.Print_Area" localSheetId="14">'Upper Cascade Financial'!$A$1:$E$117</definedName>
    <definedName name="_xlnm.Print_Area" localSheetId="7">'Yesler DRAW'!$A$1:$AV$52</definedName>
    <definedName name="_xlnm.Print_Area" localSheetId="6">'Yesler Financial'!$A$1:$E$93</definedName>
    <definedName name="_xlnm.Print_Area">#REF!</definedName>
    <definedName name="print_area2" localSheetId="10">#REF!</definedName>
    <definedName name="print_area2" localSheetId="4">#REF!</definedName>
    <definedName name="print_area2" localSheetId="2">#REF!</definedName>
    <definedName name="print_area2" localSheetId="22">#REF!</definedName>
    <definedName name="print_area2" localSheetId="19">#REF!</definedName>
    <definedName name="print_area2" localSheetId="8">#REF!</definedName>
    <definedName name="print_area2" localSheetId="16">#REF!</definedName>
    <definedName name="print_area2" localSheetId="14">#REF!</definedName>
    <definedName name="print_area2" localSheetId="6">#REF!</definedName>
    <definedName name="print_area2">#REF!</definedName>
    <definedName name="print_area3" localSheetId="10">#REF!</definedName>
    <definedName name="print_area3" localSheetId="4">#REF!</definedName>
    <definedName name="print_area3" localSheetId="2">#REF!</definedName>
    <definedName name="print_area3" localSheetId="22">#REF!</definedName>
    <definedName name="print_area3" localSheetId="19">#REF!</definedName>
    <definedName name="print_area3" localSheetId="8">#REF!</definedName>
    <definedName name="print_area3" localSheetId="16">#REF!</definedName>
    <definedName name="print_area3" localSheetId="14">#REF!</definedName>
    <definedName name="print_area3" localSheetId="6">#REF!</definedName>
    <definedName name="print_area3">#REF!</definedName>
    <definedName name="print_area4" localSheetId="10">#REF!</definedName>
    <definedName name="print_area4" localSheetId="4">#REF!</definedName>
    <definedName name="print_area4" localSheetId="2">#REF!</definedName>
    <definedName name="print_area4" localSheetId="22">#REF!</definedName>
    <definedName name="print_area4" localSheetId="19">#REF!</definedName>
    <definedName name="print_area4" localSheetId="8">#REF!</definedName>
    <definedName name="print_area4" localSheetId="16">#REF!</definedName>
    <definedName name="print_area4" localSheetId="14">#REF!</definedName>
    <definedName name="print_area4" localSheetId="6">#REF!</definedName>
    <definedName name="print_area4">#REF!</definedName>
    <definedName name="_xlnm.Print_Titles">#N/A</definedName>
    <definedName name="PROFORMA" localSheetId="10">#REF!</definedName>
    <definedName name="PROFORMA" localSheetId="4">#REF!</definedName>
    <definedName name="PROFORMA" localSheetId="2">#REF!</definedName>
    <definedName name="PROFORMA" localSheetId="22">#REF!</definedName>
    <definedName name="PROFORMA" localSheetId="19">#REF!</definedName>
    <definedName name="PROFORMA" localSheetId="8">#REF!</definedName>
    <definedName name="PROFORMA" localSheetId="16">#REF!</definedName>
    <definedName name="PROFORMA" localSheetId="14">#REF!</definedName>
    <definedName name="PROFORMA" localSheetId="6">#REF!</definedName>
    <definedName name="PROFORMA">#REF!</definedName>
    <definedName name="Promote_dev_1">[6]Input!$E$330</definedName>
    <definedName name="Property_Types">'[8]Deal Assumptions'!$G$345:$Z$345</definedName>
    <definedName name="pt" localSheetId="10">[4]Frontsheet!#REF!</definedName>
    <definedName name="pt" localSheetId="4">[4]Frontsheet!#REF!</definedName>
    <definedName name="pt" localSheetId="2">[4]Frontsheet!#REF!</definedName>
    <definedName name="pt" localSheetId="22">[4]Frontsheet!#REF!</definedName>
    <definedName name="pt" localSheetId="19">[4]Frontsheet!#REF!</definedName>
    <definedName name="pt" localSheetId="8">[4]Frontsheet!#REF!</definedName>
    <definedName name="pt" localSheetId="16">[4]Frontsheet!#REF!</definedName>
    <definedName name="pt" localSheetId="14">[4]Frontsheet!#REF!</definedName>
    <definedName name="pt" localSheetId="6">[4]Frontsheet!#REF!</definedName>
    <definedName name="pt">[4]Frontsheet!#REF!</definedName>
    <definedName name="qq" localSheetId="10">#REF!</definedName>
    <definedName name="qq" localSheetId="4">#REF!</definedName>
    <definedName name="qq" localSheetId="2">#REF!</definedName>
    <definedName name="qq" localSheetId="22">#REF!</definedName>
    <definedName name="qq" localSheetId="19">#REF!</definedName>
    <definedName name="qq" localSheetId="8">#REF!</definedName>
    <definedName name="qq" localSheetId="16">#REF!</definedName>
    <definedName name="qq" localSheetId="14">#REF!</definedName>
    <definedName name="qq" localSheetId="6">#REF!</definedName>
    <definedName name="qq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10">[4]Frontsheet!#REF!</definedName>
    <definedName name="rf" localSheetId="4">[4]Frontsheet!#REF!</definedName>
    <definedName name="rf" localSheetId="2">[4]Frontsheet!#REF!</definedName>
    <definedName name="rf" localSheetId="22">[4]Frontsheet!#REF!</definedName>
    <definedName name="rf" localSheetId="19">[4]Frontsheet!#REF!</definedName>
    <definedName name="rf" localSheetId="8">[4]Frontsheet!#REF!</definedName>
    <definedName name="rf" localSheetId="16">[4]Frontsheet!#REF!</definedName>
    <definedName name="rf" localSheetId="14">[4]Frontsheet!#REF!</definedName>
    <definedName name="rf" localSheetId="6">[4]Frontsheet!#REF!</definedName>
    <definedName name="rf">[4]Frontsheet!#REF!</definedName>
    <definedName name="S_U" localSheetId="10">#REF!</definedName>
    <definedName name="S_U" localSheetId="4">#REF!</definedName>
    <definedName name="S_U" localSheetId="2">#REF!</definedName>
    <definedName name="S_U" localSheetId="22">#REF!</definedName>
    <definedName name="S_U" localSheetId="19">#REF!</definedName>
    <definedName name="S_U" localSheetId="8">#REF!</definedName>
    <definedName name="S_U" localSheetId="16">#REF!</definedName>
    <definedName name="S_U" localSheetId="14">#REF!</definedName>
    <definedName name="S_U" localSheetId="6">#REF!</definedName>
    <definedName name="S_U">#REF!</definedName>
    <definedName name="Sample1" localSheetId="10">[9]Template!#REF!</definedName>
    <definedName name="Sample1" localSheetId="4">[9]Template!#REF!</definedName>
    <definedName name="Sample1" localSheetId="2">[9]Template!#REF!</definedName>
    <definedName name="Sample1" localSheetId="22">[9]Template!#REF!</definedName>
    <definedName name="Sample1" localSheetId="19">[9]Template!#REF!</definedName>
    <definedName name="Sample1" localSheetId="8">[9]Template!#REF!</definedName>
    <definedName name="Sample1" localSheetId="16">[9]Template!#REF!</definedName>
    <definedName name="Sample1" localSheetId="14">[9]Template!#REF!</definedName>
    <definedName name="Sample1" localSheetId="6">[9]Template!#REF!</definedName>
    <definedName name="Sample1">[9]Template!#REF!</definedName>
    <definedName name="sample2" localSheetId="10">[10]Template!#REF!</definedName>
    <definedName name="sample2" localSheetId="4">[10]Template!#REF!</definedName>
    <definedName name="sample2" localSheetId="2">[10]Template!#REF!</definedName>
    <definedName name="sample2" localSheetId="22">[10]Template!#REF!</definedName>
    <definedName name="sample2" localSheetId="19">[10]Template!#REF!</definedName>
    <definedName name="sample2" localSheetId="8">[10]Template!#REF!</definedName>
    <definedName name="sample2" localSheetId="16">[10]Template!#REF!</definedName>
    <definedName name="sample2" localSheetId="14">[10]Template!#REF!</definedName>
    <definedName name="sample2" localSheetId="6">[10]Template!#REF!</definedName>
    <definedName name="sample2">[10]Template!#REF!</definedName>
    <definedName name="sample3" localSheetId="10">[10]Template!#REF!</definedName>
    <definedName name="sample3" localSheetId="4">[10]Template!#REF!</definedName>
    <definedName name="sample3" localSheetId="2">[10]Template!#REF!</definedName>
    <definedName name="sample3" localSheetId="22">[10]Template!#REF!</definedName>
    <definedName name="sample3" localSheetId="19">[10]Template!#REF!</definedName>
    <definedName name="sample3" localSheetId="8">[10]Template!#REF!</definedName>
    <definedName name="sample3" localSheetId="16">[10]Template!#REF!</definedName>
    <definedName name="sample3" localSheetId="14">[10]Template!#REF!</definedName>
    <definedName name="sample3" localSheetId="6">[10]Template!#REF!</definedName>
    <definedName name="sample3">[10]Template!#REF!</definedName>
    <definedName name="sdf" hidden="1">{"Assump",#N/A,TRUE,"Proforma";"first",#N/A,TRUE,"Proforma";"second",#N/A,TRUE,"Proforma";"lease1",#N/A,TRUE,"Proforma";"lease2",#N/A,TRUE,"Proforma"}</definedName>
    <definedName name="sdfgsfgdsfg" localSheetId="10">[4]Frontsheet!#REF!</definedName>
    <definedName name="sdfgsfgdsfg" localSheetId="4">[4]Frontsheet!#REF!</definedName>
    <definedName name="sdfgsfgdsfg" localSheetId="2">[4]Frontsheet!#REF!</definedName>
    <definedName name="sdfgsfgdsfg" localSheetId="22">[4]Frontsheet!#REF!</definedName>
    <definedName name="sdfgsfgdsfg" localSheetId="19">[4]Frontsheet!#REF!</definedName>
    <definedName name="sdfgsfgdsfg" localSheetId="8">[4]Frontsheet!#REF!</definedName>
    <definedName name="sdfgsfgdsfg" localSheetId="16">[4]Frontsheet!#REF!</definedName>
    <definedName name="sdfgsfgdsfg" localSheetId="14">[4]Frontsheet!#REF!</definedName>
    <definedName name="sdfgsfgdsfg" localSheetId="6">[4]Frontsheet!#REF!</definedName>
    <definedName name="sdfgsfgdsfg">[4]Frontsheet!#REF!</definedName>
    <definedName name="SF">'[11]One Pager - Assumptions'!$H$31</definedName>
    <definedName name="sg" localSheetId="10">[4]Frontsheet!#REF!</definedName>
    <definedName name="sg" localSheetId="4">[4]Frontsheet!#REF!</definedName>
    <definedName name="sg" localSheetId="2">[4]Frontsheet!#REF!</definedName>
    <definedName name="sg" localSheetId="22">[4]Frontsheet!#REF!</definedName>
    <definedName name="sg" localSheetId="19">[4]Frontsheet!#REF!</definedName>
    <definedName name="sg" localSheetId="8">[4]Frontsheet!#REF!</definedName>
    <definedName name="sg" localSheetId="16">[4]Frontsheet!#REF!</definedName>
    <definedName name="sg" localSheetId="14">[4]Frontsheet!#REF!</definedName>
    <definedName name="sg" localSheetId="6">[4]Frontsheet!#REF!</definedName>
    <definedName name="sg">[4]Frontsheet!#REF!</definedName>
    <definedName name="si" localSheetId="10">[4]Frontsheet!#REF!</definedName>
    <definedName name="si" localSheetId="4">[4]Frontsheet!#REF!</definedName>
    <definedName name="si" localSheetId="2">[4]Frontsheet!#REF!</definedName>
    <definedName name="si" localSheetId="22">[4]Frontsheet!#REF!</definedName>
    <definedName name="si" localSheetId="19">[4]Frontsheet!#REF!</definedName>
    <definedName name="si" localSheetId="8">[4]Frontsheet!#REF!</definedName>
    <definedName name="si" localSheetId="16">[4]Frontsheet!#REF!</definedName>
    <definedName name="si" localSheetId="14">[4]Frontsheet!#REF!</definedName>
    <definedName name="si" localSheetId="6">[4]Frontsheet!#REF!</definedName>
    <definedName name="si">[4]Frontsheet!#REF!</definedName>
    <definedName name="tp" localSheetId="10">[4]Frontsheet!#REF!</definedName>
    <definedName name="tp" localSheetId="4">[4]Frontsheet!#REF!</definedName>
    <definedName name="tp" localSheetId="2">[4]Frontsheet!#REF!</definedName>
    <definedName name="tp" localSheetId="22">[4]Frontsheet!#REF!</definedName>
    <definedName name="tp" localSheetId="19">[4]Frontsheet!#REF!</definedName>
    <definedName name="tp" localSheetId="8">[4]Frontsheet!#REF!</definedName>
    <definedName name="tp" localSheetId="16">[4]Frontsheet!#REF!</definedName>
    <definedName name="tp" localSheetId="14">[4]Frontsheet!#REF!</definedName>
    <definedName name="tp" localSheetId="6">[4]Frontsheet!#REF!</definedName>
    <definedName name="tp">[4]Frontsheet!#REF!</definedName>
    <definedName name="Trended_hard_cost">[6]Input!$K$47</definedName>
    <definedName name="trended_partner_contributions" localSheetId="10">'[6]Trended Cash Flow'!#REF!</definedName>
    <definedName name="trended_partner_contributions" localSheetId="4">'[6]Trended Cash Flow'!#REF!</definedName>
    <definedName name="trended_partner_contributions" localSheetId="2">'[6]Trended Cash Flow'!#REF!</definedName>
    <definedName name="trended_partner_contributions" localSheetId="22">'[6]Trended Cash Flow'!#REF!</definedName>
    <definedName name="trended_partner_contributions" localSheetId="19">'[6]Trended Cash Flow'!#REF!</definedName>
    <definedName name="trended_partner_contributions" localSheetId="8">'[6]Trended Cash Flow'!#REF!</definedName>
    <definedName name="trended_partner_contributions" localSheetId="16">'[6]Trended Cash Flow'!#REF!</definedName>
    <definedName name="trended_partner_contributions" localSheetId="14">'[6]Trended Cash Flow'!#REF!</definedName>
    <definedName name="trended_partner_contributions" localSheetId="6">'[6]Trended Cash Flow'!#REF!</definedName>
    <definedName name="trended_partner_contributions">'[6]Trended Cash Flow'!#REF!</definedName>
    <definedName name="TT" localSheetId="10">[4]Frontsheet!#REF!</definedName>
    <definedName name="TT" localSheetId="4">[4]Frontsheet!#REF!</definedName>
    <definedName name="TT" localSheetId="2">[4]Frontsheet!#REF!</definedName>
    <definedName name="TT" localSheetId="22">[4]Frontsheet!#REF!</definedName>
    <definedName name="TT" localSheetId="19">[4]Frontsheet!#REF!</definedName>
    <definedName name="TT" localSheetId="8">[4]Frontsheet!#REF!</definedName>
    <definedName name="TT" localSheetId="16">[4]Frontsheet!#REF!</definedName>
    <definedName name="TT" localSheetId="14">[4]Frontsheet!#REF!</definedName>
    <definedName name="TT" localSheetId="6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 hidden="1">{"Assump",#N/A,TRUE,"Proforma";"first",#N/A,TRUE,"Proforma";"second",#N/A,TRUE,"Proforma";"lease1",#N/A,TRUE,"Proforma";"lease2",#N/A,TRUE,"Proforma"}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hidden="1">{"data",#N/A,FALSE,"INPUT"}</definedName>
    <definedName name="wrn.GSA._.PRINT." hidden="1">{#N/A,#N/A,FALSE,"DEV COSTS";#N/A,#N/A,FALSE,"10-YR C. F."}</definedName>
    <definedName name="wrn.Investment._.Review." hidden="1">{#N/A,#N/A,FALSE,"Proforma Five Yr";#N/A,#N/A,FALSE,"Capital Input";#N/A,#N/A,FALSE,"Calculations";#N/A,#N/A,FALSE,"Transaction Summary-DTW"}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hidden="1">{#N/A,#N/A,FALSE,"Proforma Five Yr";#N/A,#N/A,FALSE,"Occ and Rate";#N/A,#N/A,FALSE,"PF Input";#N/A,#N/A,FALSE,"Hotcomps"}</definedName>
    <definedName name="wrn.Phase._.I." hidden="1">{#N/A,#N/A,FALSE,"Transaction Summary-DTW";#N/A,#N/A,FALSE,"Proforma Five Yr";#N/A,#N/A,FALSE,"Occ and Rate"}</definedName>
    <definedName name="wrn.print." hidden="1">{"Assump",#N/A,TRUE,"Proforma";"first",#N/A,TRUE,"Proforma";"second",#N/A,TRUE,"Proforma";"lease1",#N/A,TRUE,"Proforma";"lease2",#N/A,TRUE,"Proforma"}</definedName>
    <definedName name="wrn.Proforma._.Review." hidden="1">{#N/A,#N/A,FALSE,"Occ and Rate";#N/A,#N/A,FALSE,"PF Input";#N/A,#N/A,FALSE,"Proforma Five Yr";#N/A,#N/A,FALSE,"Hotcomps"}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hidden="1">{#N/A,#N/A,FALSE,"DEV COSTS";#N/A,#N/A,FALSE,"10-YR C. F."}</definedName>
    <definedName name="wrn.WeeklyStatus." hidden="1">{#N/A,#N/A,FALSE,"StatusReport"}</definedName>
    <definedName name="wrn.YTD.Clsngs.Subdiv.Dte." hidden="1">{"Smry.sbtl.subdiv.clsdte",#N/A,FALSE,"97clsngs.612"}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" i="152" l="1"/>
  <c r="F7" i="152"/>
  <c r="F8" i="152"/>
  <c r="F5" i="152"/>
  <c r="G12" i="171"/>
  <c r="G13" i="171"/>
  <c r="G14" i="171"/>
  <c r="G11" i="171"/>
  <c r="G6" i="171"/>
  <c r="G7" i="171"/>
  <c r="G8" i="171"/>
  <c r="G5" i="171"/>
  <c r="F5" i="153"/>
  <c r="F4" i="153"/>
  <c r="K81" i="142"/>
  <c r="L81" i="142"/>
  <c r="C11" i="153"/>
  <c r="C16" i="140"/>
  <c r="C17" i="140"/>
  <c r="C18" i="140"/>
  <c r="C19" i="140"/>
  <c r="D20" i="140"/>
  <c r="E20" i="140"/>
  <c r="F20" i="140"/>
  <c r="C57" i="171" s="1"/>
  <c r="G20" i="140"/>
  <c r="C57" i="152" s="1"/>
  <c r="H20" i="140"/>
  <c r="I20" i="140"/>
  <c r="J20" i="140"/>
  <c r="B24" i="140"/>
  <c r="B25" i="140"/>
  <c r="B26" i="140"/>
  <c r="B27" i="140"/>
  <c r="B28" i="140"/>
  <c r="B29" i="140"/>
  <c r="B30" i="140"/>
  <c r="A29" i="150"/>
  <c r="F10" i="140"/>
  <c r="AU23" i="159"/>
  <c r="AU12" i="159"/>
  <c r="AQ24" i="159"/>
  <c r="AR24" i="159"/>
  <c r="AS24" i="159"/>
  <c r="AT24" i="159"/>
  <c r="AU24" i="159"/>
  <c r="AQ13" i="159"/>
  <c r="AR13" i="159"/>
  <c r="AS13" i="159"/>
  <c r="AT13" i="159"/>
  <c r="AU13" i="159"/>
  <c r="AF21" i="159"/>
  <c r="AG21" i="159"/>
  <c r="AH21" i="159"/>
  <c r="AI21" i="159"/>
  <c r="AJ21" i="159"/>
  <c r="AK21" i="159"/>
  <c r="AL21" i="159"/>
  <c r="AM21" i="159"/>
  <c r="AN21" i="159"/>
  <c r="AO21" i="159"/>
  <c r="AP21" i="159"/>
  <c r="AQ21" i="159"/>
  <c r="AR21" i="159"/>
  <c r="AS21" i="159"/>
  <c r="AT21" i="159"/>
  <c r="AU21" i="159"/>
  <c r="AF10" i="159"/>
  <c r="AG10" i="159"/>
  <c r="AH10" i="159"/>
  <c r="AI10" i="159"/>
  <c r="AJ10" i="159"/>
  <c r="AK10" i="159"/>
  <c r="AL10" i="159"/>
  <c r="AM10" i="159"/>
  <c r="AN10" i="159"/>
  <c r="AO10" i="159"/>
  <c r="AP10" i="159"/>
  <c r="AQ10" i="159"/>
  <c r="AR10" i="159"/>
  <c r="AS10" i="159"/>
  <c r="AT10" i="159"/>
  <c r="AU10" i="159"/>
  <c r="AD22" i="159"/>
  <c r="AE22" i="159"/>
  <c r="AF22" i="159"/>
  <c r="AG22" i="159"/>
  <c r="AH22" i="159"/>
  <c r="AI22" i="159"/>
  <c r="AJ22" i="159"/>
  <c r="AK22" i="159"/>
  <c r="AL22" i="159"/>
  <c r="AM22" i="159"/>
  <c r="AN22" i="159"/>
  <c r="AO22" i="159"/>
  <c r="AP22" i="159"/>
  <c r="AQ22" i="159"/>
  <c r="AR22" i="159"/>
  <c r="AS22" i="159"/>
  <c r="AT22" i="159"/>
  <c r="AU22" i="159"/>
  <c r="AC22" i="159"/>
  <c r="AF11" i="159"/>
  <c r="AG11" i="159"/>
  <c r="AH11" i="159"/>
  <c r="AI11" i="159"/>
  <c r="AJ11" i="159"/>
  <c r="AK11" i="159"/>
  <c r="AL11" i="159"/>
  <c r="AM11" i="159"/>
  <c r="AN11" i="159"/>
  <c r="AO11" i="159"/>
  <c r="AP11" i="159"/>
  <c r="AQ11" i="159"/>
  <c r="AR11" i="159"/>
  <c r="AS11" i="159"/>
  <c r="AT11" i="159"/>
  <c r="AU11" i="159"/>
  <c r="AC11" i="159"/>
  <c r="AD11" i="159"/>
  <c r="AE11" i="159"/>
  <c r="AO9" i="159"/>
  <c r="AP9" i="159"/>
  <c r="AQ9" i="159"/>
  <c r="AR9" i="159"/>
  <c r="AS9" i="159"/>
  <c r="AT9" i="159"/>
  <c r="AU9" i="159"/>
  <c r="AG20" i="159"/>
  <c r="AI20" i="159"/>
  <c r="AJ20" i="159"/>
  <c r="AK20" i="159"/>
  <c r="AL20" i="159"/>
  <c r="AM20" i="159"/>
  <c r="AO7" i="159"/>
  <c r="AP7" i="159"/>
  <c r="AQ7" i="159"/>
  <c r="AR7" i="159"/>
  <c r="AS7" i="159"/>
  <c r="AT7" i="159"/>
  <c r="AU7" i="159"/>
  <c r="AJ7" i="159"/>
  <c r="AK7" i="159"/>
  <c r="AL7" i="159"/>
  <c r="AM7" i="159"/>
  <c r="AN7" i="159"/>
  <c r="AK8" i="159"/>
  <c r="AL8" i="159"/>
  <c r="AM8" i="159"/>
  <c r="AN8" i="159"/>
  <c r="AO8" i="159"/>
  <c r="AP8" i="159"/>
  <c r="AQ8" i="159"/>
  <c r="AR8" i="159"/>
  <c r="AS8" i="159"/>
  <c r="AT8" i="159"/>
  <c r="AU8" i="159"/>
  <c r="V19" i="159"/>
  <c r="W19" i="159"/>
  <c r="X19" i="159"/>
  <c r="Y19" i="159"/>
  <c r="Z19" i="159"/>
  <c r="AA19" i="159"/>
  <c r="AB19" i="159"/>
  <c r="AC19" i="159"/>
  <c r="AD19" i="159"/>
  <c r="AE19" i="159"/>
  <c r="AF19" i="159"/>
  <c r="AG19" i="159"/>
  <c r="AH19" i="159"/>
  <c r="AI19" i="159"/>
  <c r="AK19" i="159"/>
  <c r="AL19" i="159"/>
  <c r="AM19" i="159"/>
  <c r="AN19" i="159"/>
  <c r="AO19" i="159"/>
  <c r="AP19" i="159"/>
  <c r="AQ19" i="159"/>
  <c r="AR19" i="159"/>
  <c r="AS19" i="159"/>
  <c r="AT19" i="159"/>
  <c r="AU19" i="159"/>
  <c r="AA18" i="159"/>
  <c r="AB18" i="159"/>
  <c r="AC18" i="159"/>
  <c r="AD18" i="159"/>
  <c r="AE18" i="159"/>
  <c r="AF18" i="159"/>
  <c r="AG18" i="159"/>
  <c r="AH18" i="159"/>
  <c r="AI18" i="159"/>
  <c r="AJ18" i="159"/>
  <c r="AK18" i="159"/>
  <c r="AL18" i="159"/>
  <c r="AM18" i="159"/>
  <c r="AN18" i="159"/>
  <c r="AO18" i="159"/>
  <c r="AP18" i="159"/>
  <c r="AQ18" i="159"/>
  <c r="AR18" i="159"/>
  <c r="AS18" i="159"/>
  <c r="AT18" i="159"/>
  <c r="AU18" i="159"/>
  <c r="B11" i="152"/>
  <c r="S24" i="162"/>
  <c r="R24" i="162"/>
  <c r="Q24" i="162"/>
  <c r="H24" i="162"/>
  <c r="G24" i="162"/>
  <c r="F24" i="162"/>
  <c r="S23" i="162"/>
  <c r="R23" i="162"/>
  <c r="Q23" i="162"/>
  <c r="H23" i="162"/>
  <c r="G23" i="162"/>
  <c r="F23" i="162"/>
  <c r="S9" i="162"/>
  <c r="R9" i="162"/>
  <c r="Q9" i="162"/>
  <c r="H9" i="162"/>
  <c r="G9" i="162"/>
  <c r="F9" i="162"/>
  <c r="S10" i="162"/>
  <c r="R10" i="162"/>
  <c r="Q10" i="162"/>
  <c r="H10" i="162"/>
  <c r="G10" i="162"/>
  <c r="F10" i="162"/>
  <c r="S25" i="162"/>
  <c r="R25" i="162"/>
  <c r="Q25" i="162"/>
  <c r="P25" i="162"/>
  <c r="O25" i="162"/>
  <c r="N25" i="162"/>
  <c r="M25" i="162"/>
  <c r="L25" i="162"/>
  <c r="K25" i="162"/>
  <c r="J25" i="162"/>
  <c r="I25" i="162"/>
  <c r="H25" i="162"/>
  <c r="G25" i="162"/>
  <c r="F25" i="162"/>
  <c r="E25" i="162"/>
  <c r="D25" i="162"/>
  <c r="C25" i="162"/>
  <c r="S22" i="162"/>
  <c r="R22" i="162"/>
  <c r="Q22" i="162"/>
  <c r="P22" i="162"/>
  <c r="O22" i="162"/>
  <c r="N22" i="162"/>
  <c r="M22" i="162"/>
  <c r="L22" i="162"/>
  <c r="K22" i="162"/>
  <c r="J22" i="162"/>
  <c r="I22" i="162"/>
  <c r="H22" i="162"/>
  <c r="G22" i="162"/>
  <c r="F22" i="162"/>
  <c r="E22" i="162"/>
  <c r="D22" i="162"/>
  <c r="C22" i="162"/>
  <c r="S21" i="162"/>
  <c r="R21" i="162"/>
  <c r="Q21" i="162"/>
  <c r="P21" i="162"/>
  <c r="O21" i="162"/>
  <c r="N21" i="162"/>
  <c r="M21" i="162"/>
  <c r="L21" i="162"/>
  <c r="K21" i="162"/>
  <c r="J21" i="162"/>
  <c r="I21" i="162"/>
  <c r="H21" i="162"/>
  <c r="G21" i="162"/>
  <c r="F21" i="162"/>
  <c r="E21" i="162"/>
  <c r="D21" i="162"/>
  <c r="C21" i="162"/>
  <c r="S18" i="162"/>
  <c r="R18" i="162"/>
  <c r="Q18" i="162"/>
  <c r="P18" i="162"/>
  <c r="O18" i="162"/>
  <c r="N18" i="162"/>
  <c r="M18" i="162"/>
  <c r="L18" i="162"/>
  <c r="K18" i="162"/>
  <c r="J18" i="162"/>
  <c r="I18" i="162"/>
  <c r="H18" i="162"/>
  <c r="G18" i="162"/>
  <c r="F18" i="162"/>
  <c r="E18" i="162"/>
  <c r="D18" i="162"/>
  <c r="C18" i="162"/>
  <c r="S14" i="162"/>
  <c r="R14" i="162"/>
  <c r="Q14" i="162"/>
  <c r="P14" i="162"/>
  <c r="O14" i="162"/>
  <c r="N14" i="162"/>
  <c r="M14" i="162"/>
  <c r="L14" i="162"/>
  <c r="K14" i="162"/>
  <c r="J14" i="162"/>
  <c r="I14" i="162"/>
  <c r="H14" i="162"/>
  <c r="G14" i="162"/>
  <c r="F14" i="162"/>
  <c r="E14" i="162"/>
  <c r="D14" i="162"/>
  <c r="C14" i="162"/>
  <c r="S13" i="162"/>
  <c r="R13" i="162"/>
  <c r="Q13" i="162"/>
  <c r="P13" i="162"/>
  <c r="O13" i="162"/>
  <c r="N13" i="162"/>
  <c r="M13" i="162"/>
  <c r="L13" i="162"/>
  <c r="K13" i="162"/>
  <c r="J13" i="162"/>
  <c r="I13" i="162"/>
  <c r="H13" i="162"/>
  <c r="G13" i="162"/>
  <c r="F13" i="162"/>
  <c r="E13" i="162"/>
  <c r="D13" i="162"/>
  <c r="C13" i="162"/>
  <c r="C24" i="162"/>
  <c r="B13" i="171"/>
  <c r="B12" i="171"/>
  <c r="B11" i="171"/>
  <c r="C67" i="171"/>
  <c r="D37" i="169"/>
  <c r="C28" i="170"/>
  <c r="C27" i="170"/>
  <c r="O30" i="170"/>
  <c r="N30" i="170"/>
  <c r="M30" i="170"/>
  <c r="L30" i="170"/>
  <c r="K30" i="170"/>
  <c r="J30" i="170"/>
  <c r="I30" i="170"/>
  <c r="H30" i="170"/>
  <c r="G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G29" i="170"/>
  <c r="F29" i="170"/>
  <c r="E29" i="170"/>
  <c r="D29" i="170"/>
  <c r="C29" i="170"/>
  <c r="O28" i="170"/>
  <c r="D28" i="170"/>
  <c r="O27" i="170"/>
  <c r="O26" i="170"/>
  <c r="N26" i="170"/>
  <c r="M26" i="170"/>
  <c r="L26" i="170"/>
  <c r="K26" i="170"/>
  <c r="J26" i="170"/>
  <c r="I26" i="170"/>
  <c r="H26" i="170"/>
  <c r="G26" i="170"/>
  <c r="F26" i="170"/>
  <c r="E26" i="170"/>
  <c r="D26" i="170"/>
  <c r="C26" i="170"/>
  <c r="O25" i="170"/>
  <c r="N25" i="170"/>
  <c r="M25" i="170"/>
  <c r="L25" i="170"/>
  <c r="K25" i="170"/>
  <c r="J25" i="170"/>
  <c r="I25" i="170"/>
  <c r="H25" i="170"/>
  <c r="G25" i="170"/>
  <c r="F25" i="170"/>
  <c r="E25" i="170"/>
  <c r="D25" i="170"/>
  <c r="C25" i="170"/>
  <c r="B14" i="170"/>
  <c r="B16" i="170"/>
  <c r="B22" i="170"/>
  <c r="B23" i="170"/>
  <c r="B25" i="170"/>
  <c r="B26" i="170"/>
  <c r="B28" i="170"/>
  <c r="B29" i="170"/>
  <c r="A31" i="170"/>
  <c r="A7" i="170"/>
  <c r="A8" i="170"/>
  <c r="A9" i="170"/>
  <c r="A10" i="170"/>
  <c r="A11" i="170"/>
  <c r="A12" i="170"/>
  <c r="A13" i="170"/>
  <c r="A14" i="170"/>
  <c r="A15" i="170"/>
  <c r="A16" i="170"/>
  <c r="A17" i="170"/>
  <c r="A18" i="170"/>
  <c r="A19" i="170"/>
  <c r="A20" i="170"/>
  <c r="A21" i="170"/>
  <c r="A22" i="170"/>
  <c r="A23" i="170"/>
  <c r="A24" i="170"/>
  <c r="A25" i="170"/>
  <c r="A26" i="170"/>
  <c r="A27" i="170"/>
  <c r="A28" i="170"/>
  <c r="A29" i="170"/>
  <c r="A30" i="170"/>
  <c r="A6" i="170"/>
  <c r="C24" i="156"/>
  <c r="C11" i="156"/>
  <c r="C9" i="156"/>
  <c r="L9" i="156"/>
  <c r="L11" i="156"/>
  <c r="C13" i="156"/>
  <c r="D13" i="156"/>
  <c r="E13" i="156"/>
  <c r="F13" i="156"/>
  <c r="G13" i="156"/>
  <c r="H13" i="156"/>
  <c r="I13" i="156"/>
  <c r="J13" i="156"/>
  <c r="K13" i="156"/>
  <c r="L13" i="156"/>
  <c r="C19" i="156"/>
  <c r="D19" i="156"/>
  <c r="E19" i="156"/>
  <c r="F19" i="156"/>
  <c r="G19" i="156"/>
  <c r="H19" i="156"/>
  <c r="I19" i="156"/>
  <c r="J19" i="156"/>
  <c r="K19" i="156"/>
  <c r="L19" i="156"/>
  <c r="C20" i="156"/>
  <c r="D20" i="156"/>
  <c r="E20" i="156"/>
  <c r="F20" i="156"/>
  <c r="G20" i="156"/>
  <c r="H20" i="156"/>
  <c r="I20" i="156"/>
  <c r="J20" i="156"/>
  <c r="K20" i="156"/>
  <c r="L20" i="156"/>
  <c r="C22" i="156"/>
  <c r="D22" i="156"/>
  <c r="E22" i="156"/>
  <c r="F22" i="156"/>
  <c r="G22" i="156"/>
  <c r="H22" i="156"/>
  <c r="I22" i="156"/>
  <c r="J22" i="156"/>
  <c r="K22" i="156"/>
  <c r="L22" i="156"/>
  <c r="L24" i="156"/>
  <c r="C25" i="156"/>
  <c r="D25" i="156"/>
  <c r="E25" i="156"/>
  <c r="F25" i="156"/>
  <c r="G25" i="156"/>
  <c r="H25" i="156"/>
  <c r="I25" i="156"/>
  <c r="J25" i="156"/>
  <c r="K25" i="156"/>
  <c r="L25" i="156"/>
  <c r="C62" i="153"/>
  <c r="A81" i="150"/>
  <c r="C65" i="150"/>
  <c r="C55" i="164"/>
  <c r="D34" i="164"/>
  <c r="C45" i="164"/>
  <c r="C42" i="164"/>
  <c r="C40" i="164"/>
  <c r="A29" i="164"/>
  <c r="D7" i="164"/>
  <c r="D6" i="164"/>
  <c r="D5" i="164"/>
  <c r="C20" i="140" l="1"/>
  <c r="A27" i="162"/>
  <c r="B15" i="152"/>
  <c r="A27" i="156"/>
  <c r="J81" i="142"/>
  <c r="I81" i="142"/>
  <c r="J71" i="142"/>
  <c r="K71" i="142"/>
  <c r="L71" i="142"/>
  <c r="I71" i="142"/>
  <c r="I70" i="142"/>
  <c r="K61" i="142"/>
  <c r="L61" i="142"/>
  <c r="J61" i="142"/>
  <c r="I61" i="142"/>
  <c r="L70" i="142"/>
  <c r="AB7" i="159"/>
  <c r="AC7" i="159"/>
  <c r="AD7" i="159"/>
  <c r="AE7" i="159"/>
  <c r="AF7" i="159"/>
  <c r="AG7" i="159"/>
  <c r="AH7" i="159"/>
  <c r="AI7" i="159"/>
  <c r="AA7" i="159"/>
  <c r="A8" i="159"/>
  <c r="A19" i="159" s="1"/>
  <c r="A9" i="159"/>
  <c r="A20" i="159" s="1"/>
  <c r="A10" i="159"/>
  <c r="A21" i="159" s="1"/>
  <c r="A11" i="159"/>
  <c r="A22" i="159" s="1"/>
  <c r="A12" i="159"/>
  <c r="A23" i="159" s="1"/>
  <c r="A13" i="159"/>
  <c r="A24" i="159" s="1"/>
  <c r="A7" i="159"/>
  <c r="A18" i="159" s="1"/>
  <c r="B103" i="152" l="1"/>
  <c r="C54" i="152"/>
  <c r="C63" i="152"/>
  <c r="B29" i="152"/>
  <c r="B20" i="152"/>
  <c r="C14" i="152"/>
  <c r="C12" i="152"/>
  <c r="B21" i="172"/>
  <c r="V21" i="172" s="1"/>
  <c r="A22" i="172"/>
  <c r="C54" i="171"/>
  <c r="A31" i="171"/>
  <c r="B29" i="171"/>
  <c r="B21" i="171"/>
  <c r="C20" i="171"/>
  <c r="D20" i="171" s="1"/>
  <c r="D21" i="171" s="1"/>
  <c r="D37" i="171" s="1"/>
  <c r="C68" i="171" s="1"/>
  <c r="C12" i="171"/>
  <c r="D2" i="156"/>
  <c r="E2" i="156"/>
  <c r="F2" i="156"/>
  <c r="C2" i="156"/>
  <c r="C57" i="153"/>
  <c r="C53" i="153"/>
  <c r="A23" i="153"/>
  <c r="B18" i="153"/>
  <c r="B12" i="153"/>
  <c r="B15" i="153" s="1"/>
  <c r="D11" i="153"/>
  <c r="D12" i="153" s="1"/>
  <c r="D31" i="153" s="1"/>
  <c r="C7" i="153"/>
  <c r="B7" i="153"/>
  <c r="B14" i="153" s="1"/>
  <c r="D34" i="153" s="1"/>
  <c r="D2" i="170"/>
  <c r="E2" i="170"/>
  <c r="F2" i="170"/>
  <c r="C2" i="170"/>
  <c r="C48" i="169"/>
  <c r="B12" i="170" s="1"/>
  <c r="C49" i="169"/>
  <c r="B13" i="170" s="1"/>
  <c r="E13" i="170" s="1"/>
  <c r="C45" i="169"/>
  <c r="B9" i="170" s="1"/>
  <c r="C43" i="169"/>
  <c r="B7" i="170" s="1"/>
  <c r="C6" i="169"/>
  <c r="C52" i="150"/>
  <c r="B25" i="150"/>
  <c r="B38" i="150"/>
  <c r="C38" i="150" s="1"/>
  <c r="X23" i="141"/>
  <c r="W23" i="141"/>
  <c r="Y20" i="141"/>
  <c r="Y23" i="141" s="1"/>
  <c r="Z13" i="141"/>
  <c r="Y13" i="141"/>
  <c r="V13" i="141"/>
  <c r="U13" i="141"/>
  <c r="AA12" i="141"/>
  <c r="W12" i="141"/>
  <c r="AA11" i="141"/>
  <c r="W11" i="141"/>
  <c r="AA10" i="141"/>
  <c r="W10" i="141"/>
  <c r="AA8" i="141"/>
  <c r="W8" i="141"/>
  <c r="AA7" i="141"/>
  <c r="W7" i="141"/>
  <c r="AA6" i="141"/>
  <c r="W6" i="141"/>
  <c r="B22" i="150"/>
  <c r="A35" i="150" s="1"/>
  <c r="D21" i="150"/>
  <c r="D22" i="150" s="1"/>
  <c r="C51" i="164"/>
  <c r="C47" i="164"/>
  <c r="C37" i="149"/>
  <c r="C51" i="153"/>
  <c r="C51" i="169"/>
  <c r="B15" i="170" s="1"/>
  <c r="C55" i="150"/>
  <c r="C40" i="149"/>
  <c r="D32" i="169"/>
  <c r="W13" i="141" l="1"/>
  <c r="AA13" i="141"/>
  <c r="B21" i="152"/>
  <c r="I21" i="172"/>
  <c r="M21" i="172"/>
  <c r="C9" i="170"/>
  <c r="P9" i="170" s="1"/>
  <c r="C38" i="153"/>
  <c r="D57" i="153"/>
  <c r="D49" i="153"/>
  <c r="C59" i="153"/>
  <c r="D59" i="153" s="1"/>
  <c r="D51" i="153"/>
  <c r="D65" i="153"/>
  <c r="D64" i="153"/>
  <c r="G9" i="140"/>
  <c r="B35" i="153"/>
  <c r="D35" i="153"/>
  <c r="C35" i="153" s="1"/>
  <c r="D52" i="153"/>
  <c r="C58" i="153"/>
  <c r="D58" i="153" s="1"/>
  <c r="C50" i="153"/>
  <c r="D50" i="153" s="1"/>
  <c r="D62" i="153"/>
  <c r="C48" i="153"/>
  <c r="D48" i="153" s="1"/>
  <c r="D61" i="153"/>
  <c r="H9" i="140"/>
  <c r="D53" i="153"/>
  <c r="B26" i="171"/>
  <c r="B22" i="172"/>
  <c r="I22" i="172" s="1"/>
  <c r="T21" i="172"/>
  <c r="L21" i="172"/>
  <c r="H21" i="172"/>
  <c r="S21" i="172"/>
  <c r="K21" i="172"/>
  <c r="R21" i="172"/>
  <c r="J21" i="172"/>
  <c r="A37" i="171"/>
  <c r="Q21" i="172"/>
  <c r="E21" i="172"/>
  <c r="P21" i="172"/>
  <c r="X21" i="172"/>
  <c r="D21" i="172"/>
  <c r="O21" i="172"/>
  <c r="U21" i="172"/>
  <c r="C21" i="172"/>
  <c r="N21" i="172"/>
  <c r="H11" i="140"/>
  <c r="C22" i="150"/>
  <c r="D35" i="150" s="1"/>
  <c r="D39" i="150" s="1"/>
  <c r="C39" i="150" s="1"/>
  <c r="H7" i="140"/>
  <c r="C53" i="169"/>
  <c r="B17" i="170" s="1"/>
  <c r="C59" i="152"/>
  <c r="D20" i="152"/>
  <c r="D21" i="152" s="1"/>
  <c r="D37" i="152" s="1"/>
  <c r="C68" i="152" s="1"/>
  <c r="C13" i="152"/>
  <c r="B26" i="152"/>
  <c r="C11" i="152"/>
  <c r="C11" i="171"/>
  <c r="C21" i="171"/>
  <c r="C14" i="171"/>
  <c r="C13" i="171"/>
  <c r="A31" i="153"/>
  <c r="C34" i="153"/>
  <c r="A5" i="153"/>
  <c r="A4" i="153"/>
  <c r="B16" i="153"/>
  <c r="E5" i="153"/>
  <c r="B20" i="153"/>
  <c r="E4" i="153"/>
  <c r="C12" i="153"/>
  <c r="C8" i="153"/>
  <c r="C57" i="169"/>
  <c r="B21" i="170" s="1"/>
  <c r="C42" i="169"/>
  <c r="B6" i="170" s="1"/>
  <c r="C44" i="169"/>
  <c r="B8" i="170" s="1"/>
  <c r="H13" i="170"/>
  <c r="C67" i="150"/>
  <c r="L13" i="170"/>
  <c r="D13" i="170"/>
  <c r="K13" i="170"/>
  <c r="C13" i="170"/>
  <c r="J13" i="170"/>
  <c r="I13" i="170"/>
  <c r="O13" i="170"/>
  <c r="G13" i="170"/>
  <c r="N13" i="170"/>
  <c r="F13" i="170"/>
  <c r="M13" i="170"/>
  <c r="B14" i="169"/>
  <c r="D10" i="169"/>
  <c r="D11" i="169"/>
  <c r="B6" i="169"/>
  <c r="D48" i="169" s="1"/>
  <c r="A37" i="152" l="1"/>
  <c r="H10" i="140"/>
  <c r="C67" i="152"/>
  <c r="J22" i="172"/>
  <c r="D22" i="172"/>
  <c r="T22" i="172"/>
  <c r="U22" i="172"/>
  <c r="O22" i="172"/>
  <c r="E22" i="172"/>
  <c r="C14" i="170"/>
  <c r="P14" i="170" s="1"/>
  <c r="D53" i="169"/>
  <c r="D51" i="169"/>
  <c r="D43" i="169"/>
  <c r="G8" i="140"/>
  <c r="D52" i="169"/>
  <c r="D49" i="169"/>
  <c r="D44" i="169"/>
  <c r="D45" i="169"/>
  <c r="K22" i="172"/>
  <c r="R22" i="172"/>
  <c r="S22" i="172"/>
  <c r="H22" i="172"/>
  <c r="L22" i="172"/>
  <c r="C22" i="172"/>
  <c r="M22" i="172"/>
  <c r="N22" i="172"/>
  <c r="P22" i="172"/>
  <c r="Q22" i="172"/>
  <c r="V22" i="172"/>
  <c r="X22" i="172"/>
  <c r="H8" i="140"/>
  <c r="C62" i="169"/>
  <c r="C59" i="169"/>
  <c r="C58" i="169"/>
  <c r="C21" i="152"/>
  <c r="E14" i="171"/>
  <c r="E13" i="171"/>
  <c r="E7" i="171"/>
  <c r="D36" i="153"/>
  <c r="E7" i="153"/>
  <c r="B17" i="153"/>
  <c r="B21" i="153" s="1"/>
  <c r="B22" i="153" s="1"/>
  <c r="B23" i="153" s="1"/>
  <c r="C56" i="169"/>
  <c r="B20" i="170" s="1"/>
  <c r="C54" i="169"/>
  <c r="B18" i="170" s="1"/>
  <c r="I18" i="170" s="1"/>
  <c r="C55" i="169"/>
  <c r="C47" i="169"/>
  <c r="D42" i="169"/>
  <c r="P13" i="170"/>
  <c r="A27" i="154"/>
  <c r="A6" i="165"/>
  <c r="A7" i="165"/>
  <c r="A8" i="165"/>
  <c r="A9" i="165"/>
  <c r="A10" i="165"/>
  <c r="A11" i="165"/>
  <c r="A12" i="165"/>
  <c r="A13" i="165"/>
  <c r="A14" i="165"/>
  <c r="A15" i="165"/>
  <c r="A16" i="165"/>
  <c r="A17" i="165"/>
  <c r="A18" i="165"/>
  <c r="A19" i="165"/>
  <c r="A20" i="165"/>
  <c r="A21" i="165"/>
  <c r="A22" i="165"/>
  <c r="A23" i="165"/>
  <c r="A24" i="165"/>
  <c r="A25" i="165"/>
  <c r="A26" i="165"/>
  <c r="A5" i="165"/>
  <c r="B9" i="172"/>
  <c r="C9" i="172" s="1"/>
  <c r="B13" i="172"/>
  <c r="I13" i="172" s="1"/>
  <c r="B25" i="172"/>
  <c r="C25" i="172" s="1"/>
  <c r="B26" i="172"/>
  <c r="I26" i="172" s="1"/>
  <c r="A27" i="172"/>
  <c r="A7" i="172"/>
  <c r="A8" i="172"/>
  <c r="A9" i="172"/>
  <c r="A10" i="172"/>
  <c r="A11" i="172"/>
  <c r="A12" i="172"/>
  <c r="A13" i="172"/>
  <c r="A14" i="172"/>
  <c r="A15" i="172"/>
  <c r="A16" i="172"/>
  <c r="A17" i="172"/>
  <c r="A18" i="172"/>
  <c r="A19" i="172"/>
  <c r="A20" i="172"/>
  <c r="A23" i="172"/>
  <c r="A24" i="172"/>
  <c r="A25" i="172"/>
  <c r="A26" i="172"/>
  <c r="A6" i="172"/>
  <c r="F2" i="172"/>
  <c r="E2" i="172"/>
  <c r="D2" i="172"/>
  <c r="C2" i="172"/>
  <c r="AT26" i="105"/>
  <c r="AS26" i="105"/>
  <c r="AR26" i="105"/>
  <c r="AQ26" i="105"/>
  <c r="AP26" i="105"/>
  <c r="AO26" i="105"/>
  <c r="AN26" i="105"/>
  <c r="AM26" i="105"/>
  <c r="AL26" i="105"/>
  <c r="AK26" i="105"/>
  <c r="AJ26" i="105"/>
  <c r="AI26" i="105"/>
  <c r="AH26" i="105"/>
  <c r="AG26" i="105"/>
  <c r="AF26" i="105"/>
  <c r="AE26" i="105"/>
  <c r="AD26" i="105"/>
  <c r="AC26" i="105"/>
  <c r="AB26" i="105"/>
  <c r="AA26" i="105"/>
  <c r="Z26" i="105"/>
  <c r="Y26" i="105"/>
  <c r="X26" i="105"/>
  <c r="W26" i="105"/>
  <c r="B8" i="105"/>
  <c r="AV8" i="105" s="1"/>
  <c r="B12" i="105"/>
  <c r="G12" i="105" s="1"/>
  <c r="A5" i="105"/>
  <c r="A6" i="105"/>
  <c r="A7" i="105"/>
  <c r="A8" i="105"/>
  <c r="A9" i="105"/>
  <c r="A10" i="105"/>
  <c r="A11" i="105"/>
  <c r="A12" i="105"/>
  <c r="A13" i="105"/>
  <c r="A14" i="105"/>
  <c r="G18" i="170" l="1"/>
  <c r="K18" i="170"/>
  <c r="L18" i="170"/>
  <c r="D47" i="169"/>
  <c r="B11" i="170"/>
  <c r="C66" i="169"/>
  <c r="B30" i="170" s="1"/>
  <c r="B19" i="170"/>
  <c r="F18" i="170"/>
  <c r="C18" i="170"/>
  <c r="M18" i="170"/>
  <c r="D18" i="170"/>
  <c r="J18" i="170"/>
  <c r="H18" i="170"/>
  <c r="O18" i="170"/>
  <c r="N18" i="170"/>
  <c r="E18" i="170"/>
  <c r="D9" i="140"/>
  <c r="D8" i="153"/>
  <c r="D26" i="153"/>
  <c r="B26" i="153" s="1"/>
  <c r="E9" i="150"/>
  <c r="E15" i="150"/>
  <c r="G20" i="170"/>
  <c r="E20" i="170"/>
  <c r="J20" i="170"/>
  <c r="I20" i="170"/>
  <c r="K20" i="170"/>
  <c r="O20" i="170"/>
  <c r="L20" i="170"/>
  <c r="C20" i="170"/>
  <c r="M20" i="170"/>
  <c r="F20" i="170"/>
  <c r="N20" i="170"/>
  <c r="H20" i="170"/>
  <c r="D20" i="170"/>
  <c r="E6" i="171"/>
  <c r="E6" i="152"/>
  <c r="E7" i="152"/>
  <c r="E12" i="152"/>
  <c r="E8" i="152"/>
  <c r="E8" i="171"/>
  <c r="E12" i="171"/>
  <c r="B15" i="171"/>
  <c r="E11" i="171"/>
  <c r="E5" i="171"/>
  <c r="H13" i="172"/>
  <c r="N26" i="172"/>
  <c r="P26" i="172"/>
  <c r="H26" i="172"/>
  <c r="V13" i="172"/>
  <c r="V26" i="172"/>
  <c r="P13" i="172"/>
  <c r="N13" i="172"/>
  <c r="F12" i="105"/>
  <c r="V12" i="105"/>
  <c r="N12" i="105"/>
  <c r="U12" i="105"/>
  <c r="T12" i="105"/>
  <c r="L12" i="105"/>
  <c r="D12" i="105"/>
  <c r="M12" i="105"/>
  <c r="S12" i="105"/>
  <c r="K12" i="105"/>
  <c r="C12" i="105"/>
  <c r="R12" i="105"/>
  <c r="J12" i="105"/>
  <c r="Q12" i="105"/>
  <c r="I12" i="105"/>
  <c r="E12" i="105"/>
  <c r="P12" i="105"/>
  <c r="H12" i="105"/>
  <c r="AV12" i="105"/>
  <c r="O12" i="105"/>
  <c r="C8" i="105"/>
  <c r="AU8" i="105" s="1"/>
  <c r="O26" i="172"/>
  <c r="O13" i="172"/>
  <c r="U26" i="172"/>
  <c r="M26" i="172"/>
  <c r="E26" i="172"/>
  <c r="U13" i="172"/>
  <c r="M13" i="172"/>
  <c r="E13" i="172"/>
  <c r="T26" i="172"/>
  <c r="L26" i="172"/>
  <c r="D26" i="172"/>
  <c r="T13" i="172"/>
  <c r="L13" i="172"/>
  <c r="D13" i="172"/>
  <c r="S26" i="172"/>
  <c r="K26" i="172"/>
  <c r="C26" i="172"/>
  <c r="S13" i="172"/>
  <c r="K13" i="172"/>
  <c r="C13" i="172"/>
  <c r="R26" i="172"/>
  <c r="J26" i="172"/>
  <c r="R13" i="172"/>
  <c r="J13" i="172"/>
  <c r="Q26" i="172"/>
  <c r="Q13" i="172"/>
  <c r="C15" i="171" l="1"/>
  <c r="C17" i="171" s="1"/>
  <c r="A11" i="171"/>
  <c r="A13" i="171"/>
  <c r="A14" i="171"/>
  <c r="A12" i="171"/>
  <c r="P18" i="170"/>
  <c r="P20" i="170"/>
  <c r="E7" i="150"/>
  <c r="E8" i="150"/>
  <c r="E13" i="152"/>
  <c r="E14" i="152"/>
  <c r="E13" i="150"/>
  <c r="C16" i="171"/>
  <c r="B9" i="171"/>
  <c r="E16" i="171"/>
  <c r="D27" i="153"/>
  <c r="D28" i="153" s="1"/>
  <c r="C26" i="153"/>
  <c r="E14" i="150"/>
  <c r="E12" i="150"/>
  <c r="B16" i="150"/>
  <c r="E6" i="150"/>
  <c r="C17" i="150"/>
  <c r="B10" i="150"/>
  <c r="AU12" i="105"/>
  <c r="AW12" i="105" s="1"/>
  <c r="AW8" i="105"/>
  <c r="C16" i="150" l="1"/>
  <c r="C10" i="150"/>
  <c r="C18" i="150" s="1"/>
  <c r="E22" i="171"/>
  <c r="D36" i="171"/>
  <c r="B16" i="171"/>
  <c r="C56" i="171" s="1"/>
  <c r="D41" i="171"/>
  <c r="A8" i="171"/>
  <c r="A7" i="171"/>
  <c r="A6" i="171"/>
  <c r="A5" i="171"/>
  <c r="E10" i="150"/>
  <c r="B28" i="150"/>
  <c r="C22" i="171"/>
  <c r="C63" i="150"/>
  <c r="C62" i="150"/>
  <c r="E11" i="152"/>
  <c r="E15" i="152" s="1"/>
  <c r="A11" i="152"/>
  <c r="E5" i="152"/>
  <c r="E9" i="152" s="1"/>
  <c r="C16" i="152"/>
  <c r="B9" i="152"/>
  <c r="D17" i="171"/>
  <c r="C9" i="171"/>
  <c r="D9" i="171" s="1"/>
  <c r="E16" i="150"/>
  <c r="D10" i="150"/>
  <c r="B17" i="150"/>
  <c r="F11" i="140"/>
  <c r="F7" i="140"/>
  <c r="F5" i="140"/>
  <c r="E7" i="140"/>
  <c r="A15" i="150" l="1"/>
  <c r="A14" i="150"/>
  <c r="A13" i="150"/>
  <c r="A12" i="150"/>
  <c r="A9" i="150"/>
  <c r="A6" i="150"/>
  <c r="A7" i="150"/>
  <c r="A8" i="150"/>
  <c r="D16" i="150"/>
  <c r="A7" i="152"/>
  <c r="A6" i="152"/>
  <c r="A5" i="152"/>
  <c r="A8" i="152"/>
  <c r="B22" i="171"/>
  <c r="D56" i="171" s="1"/>
  <c r="D23" i="171"/>
  <c r="E17" i="150"/>
  <c r="D34" i="150" s="1"/>
  <c r="A12" i="152"/>
  <c r="A13" i="152"/>
  <c r="A14" i="152"/>
  <c r="C15" i="152"/>
  <c r="B30" i="171"/>
  <c r="C64" i="171"/>
  <c r="C65" i="171"/>
  <c r="B20" i="172" s="1"/>
  <c r="D20" i="172" s="1"/>
  <c r="G11" i="140"/>
  <c r="D57" i="171"/>
  <c r="D71" i="171"/>
  <c r="D67" i="171"/>
  <c r="G7" i="140"/>
  <c r="C54" i="150"/>
  <c r="B16" i="152"/>
  <c r="D41" i="152" s="1"/>
  <c r="E16" i="152"/>
  <c r="C9" i="152"/>
  <c r="D9" i="152" s="1"/>
  <c r="C22" i="152"/>
  <c r="C36" i="171"/>
  <c r="D38" i="171"/>
  <c r="D46" i="171" s="1"/>
  <c r="B36" i="171"/>
  <c r="D63" i="150"/>
  <c r="B24" i="150"/>
  <c r="B26" i="150" s="1"/>
  <c r="D56" i="150"/>
  <c r="D69" i="150"/>
  <c r="D52" i="150"/>
  <c r="I27" i="142"/>
  <c r="I28" i="142"/>
  <c r="I29" i="142"/>
  <c r="I24" i="142"/>
  <c r="I26" i="142"/>
  <c r="D38" i="150" l="1"/>
  <c r="B29" i="150"/>
  <c r="D17" i="152"/>
  <c r="D36" i="152"/>
  <c r="B25" i="171"/>
  <c r="D68" i="171"/>
  <c r="D54" i="171"/>
  <c r="D70" i="171"/>
  <c r="D69" i="171"/>
  <c r="D64" i="171"/>
  <c r="D66" i="171"/>
  <c r="D58" i="171"/>
  <c r="C23" i="171"/>
  <c r="D18" i="150"/>
  <c r="D7" i="140"/>
  <c r="C17" i="152"/>
  <c r="D15" i="152"/>
  <c r="E20" i="172"/>
  <c r="S20" i="172"/>
  <c r="T20" i="172"/>
  <c r="U20" i="172"/>
  <c r="Q20" i="172"/>
  <c r="H20" i="172"/>
  <c r="O20" i="172"/>
  <c r="L20" i="172"/>
  <c r="V20" i="172"/>
  <c r="R20" i="172"/>
  <c r="J20" i="172"/>
  <c r="K20" i="172"/>
  <c r="N20" i="172"/>
  <c r="D65" i="171"/>
  <c r="M20" i="172"/>
  <c r="I20" i="172"/>
  <c r="C20" i="172"/>
  <c r="P20" i="172"/>
  <c r="B45" i="153"/>
  <c r="C45" i="153" s="1"/>
  <c r="B51" i="152"/>
  <c r="C51" i="152" s="1"/>
  <c r="B34" i="149"/>
  <c r="B51" i="171"/>
  <c r="C51" i="171" s="1"/>
  <c r="B22" i="152"/>
  <c r="D57" i="152" s="1"/>
  <c r="G10" i="140"/>
  <c r="C65" i="152"/>
  <c r="C64" i="152"/>
  <c r="B27" i="171"/>
  <c r="D40" i="171" s="1"/>
  <c r="B30" i="152"/>
  <c r="C41" i="152"/>
  <c r="E22" i="152"/>
  <c r="D43" i="171"/>
  <c r="B34" i="150"/>
  <c r="C34" i="150"/>
  <c r="E20" i="142"/>
  <c r="E17" i="142"/>
  <c r="E14" i="142"/>
  <c r="E11" i="142"/>
  <c r="C53" i="150"/>
  <c r="C55" i="171"/>
  <c r="C38" i="149"/>
  <c r="C42" i="149" l="1"/>
  <c r="D45" i="153"/>
  <c r="D58" i="152"/>
  <c r="B25" i="152"/>
  <c r="D59" i="152"/>
  <c r="D55" i="152"/>
  <c r="D68" i="152"/>
  <c r="D66" i="152"/>
  <c r="D65" i="152"/>
  <c r="D67" i="152"/>
  <c r="D64" i="152"/>
  <c r="B10" i="172"/>
  <c r="C10" i="172" s="1"/>
  <c r="C59" i="171"/>
  <c r="C63" i="171"/>
  <c r="D55" i="171"/>
  <c r="D53" i="150"/>
  <c r="C61" i="150"/>
  <c r="D61" i="150" s="1"/>
  <c r="C57" i="150"/>
  <c r="D57" i="150" s="1"/>
  <c r="D51" i="171"/>
  <c r="B46" i="153"/>
  <c r="C46" i="153" s="1"/>
  <c r="D46" i="153" s="1"/>
  <c r="B52" i="152"/>
  <c r="B52" i="171"/>
  <c r="C52" i="171" s="1"/>
  <c r="B46" i="169"/>
  <c r="C23" i="152"/>
  <c r="C56" i="152"/>
  <c r="D56" i="152" s="1"/>
  <c r="D54" i="152"/>
  <c r="D69" i="152"/>
  <c r="C53" i="152"/>
  <c r="D53" i="152" s="1"/>
  <c r="D70" i="152"/>
  <c r="C40" i="171"/>
  <c r="B31" i="171"/>
  <c r="D63" i="152"/>
  <c r="D23" i="152"/>
  <c r="D51" i="152"/>
  <c r="C46" i="171"/>
  <c r="B46" i="171"/>
  <c r="B35" i="149"/>
  <c r="B50" i="150"/>
  <c r="C50" i="150" s="1"/>
  <c r="C46" i="149"/>
  <c r="B9" i="105"/>
  <c r="B32" i="171" l="1"/>
  <c r="B33" i="171" s="1"/>
  <c r="D11" i="140"/>
  <c r="B27" i="152"/>
  <c r="B18" i="172"/>
  <c r="D63" i="171"/>
  <c r="B14" i="172"/>
  <c r="C14" i="172" s="1"/>
  <c r="D59" i="171"/>
  <c r="C60" i="152"/>
  <c r="D60" i="152" s="1"/>
  <c r="C62" i="152"/>
  <c r="D62" i="152" s="1"/>
  <c r="D52" i="171"/>
  <c r="D38" i="152"/>
  <c r="D46" i="152" s="1"/>
  <c r="B36" i="152"/>
  <c r="C36" i="152"/>
  <c r="C9" i="105"/>
  <c r="AU9" i="105" s="1"/>
  <c r="AV9" i="105"/>
  <c r="B31" i="152" l="1"/>
  <c r="D40" i="152"/>
  <c r="C52" i="152"/>
  <c r="D52" i="152" s="1"/>
  <c r="C18" i="172"/>
  <c r="H18" i="172"/>
  <c r="L18" i="172"/>
  <c r="E18" i="172"/>
  <c r="P18" i="172"/>
  <c r="T18" i="172"/>
  <c r="I18" i="172"/>
  <c r="R18" i="172"/>
  <c r="S18" i="172"/>
  <c r="U18" i="172"/>
  <c r="D18" i="172"/>
  <c r="J18" i="172"/>
  <c r="O18" i="172"/>
  <c r="V18" i="172"/>
  <c r="K18" i="172"/>
  <c r="N18" i="172"/>
  <c r="Q18" i="172"/>
  <c r="M18" i="172"/>
  <c r="D43" i="152"/>
  <c r="AW9" i="105"/>
  <c r="D42" i="152" l="1"/>
  <c r="D44" i="152" s="1"/>
  <c r="C40" i="152"/>
  <c r="B32" i="152"/>
  <c r="B33" i="152" s="1"/>
  <c r="D10" i="140"/>
  <c r="C61" i="152"/>
  <c r="C71" i="152" s="1"/>
  <c r="C46" i="152"/>
  <c r="B46" i="152"/>
  <c r="F9" i="140"/>
  <c r="F8" i="140"/>
  <c r="E5" i="169"/>
  <c r="E6" i="169" s="1"/>
  <c r="C8" i="149"/>
  <c r="C7" i="149"/>
  <c r="D7" i="149" s="1"/>
  <c r="C6" i="149"/>
  <c r="D6" i="149" s="1"/>
  <c r="K52" i="142"/>
  <c r="L52" i="142"/>
  <c r="J52" i="142"/>
  <c r="I52" i="142"/>
  <c r="F6" i="140"/>
  <c r="B10" i="149"/>
  <c r="C5" i="149"/>
  <c r="C14" i="149"/>
  <c r="D1" i="171"/>
  <c r="B28" i="171" s="1"/>
  <c r="B34" i="172"/>
  <c r="X20" i="172"/>
  <c r="X14" i="172"/>
  <c r="X13" i="172"/>
  <c r="X9" i="172"/>
  <c r="F5" i="172"/>
  <c r="D4" i="172"/>
  <c r="E4" i="172" s="1"/>
  <c r="F4" i="172" s="1"/>
  <c r="G4" i="172" s="1"/>
  <c r="H4" i="172" s="1"/>
  <c r="I4" i="172" s="1"/>
  <c r="J4" i="172" s="1"/>
  <c r="K4" i="172" s="1"/>
  <c r="L4" i="172" s="1"/>
  <c r="M4" i="172" s="1"/>
  <c r="N4" i="172" s="1"/>
  <c r="O4" i="172" s="1"/>
  <c r="P4" i="172" s="1"/>
  <c r="Q4" i="172" s="1"/>
  <c r="R4" i="172" s="1"/>
  <c r="S4" i="172" s="1"/>
  <c r="T4" i="172" s="1"/>
  <c r="U4" i="172" s="1"/>
  <c r="V4" i="172" s="1"/>
  <c r="F1" i="172"/>
  <c r="E1" i="172"/>
  <c r="D1" i="172"/>
  <c r="C1" i="172"/>
  <c r="A82" i="171"/>
  <c r="A83" i="171" s="1"/>
  <c r="B12" i="172"/>
  <c r="B104" i="171"/>
  <c r="D2" i="153"/>
  <c r="B38" i="170"/>
  <c r="Q20" i="170"/>
  <c r="Q14" i="170"/>
  <c r="Q13" i="170"/>
  <c r="Q9" i="170"/>
  <c r="D4" i="170"/>
  <c r="E4" i="170" s="1"/>
  <c r="F4" i="170" s="1"/>
  <c r="G4" i="170" s="1"/>
  <c r="H4" i="170" s="1"/>
  <c r="I4" i="170" s="1"/>
  <c r="J4" i="170" s="1"/>
  <c r="K4" i="170" s="1"/>
  <c r="L4" i="170" s="1"/>
  <c r="M4" i="170" s="1"/>
  <c r="N4" i="170" s="1"/>
  <c r="O4" i="170" s="1"/>
  <c r="B98" i="169"/>
  <c r="A78" i="169"/>
  <c r="D31" i="169"/>
  <c r="A24" i="169"/>
  <c r="B18" i="169"/>
  <c r="Q22" i="170"/>
  <c r="D13" i="169"/>
  <c r="D12" i="169"/>
  <c r="D66" i="169"/>
  <c r="D71" i="152" l="1"/>
  <c r="B44" i="152"/>
  <c r="D47" i="152"/>
  <c r="B47" i="152" s="1"/>
  <c r="C44" i="152"/>
  <c r="F21" i="172"/>
  <c r="F20" i="172"/>
  <c r="C46" i="169"/>
  <c r="B22" i="169"/>
  <c r="D8" i="149"/>
  <c r="A8" i="149"/>
  <c r="D61" i="152"/>
  <c r="D5" i="149"/>
  <c r="B13" i="105"/>
  <c r="E13" i="105" s="1"/>
  <c r="A6" i="149"/>
  <c r="A7" i="149"/>
  <c r="A5" i="149"/>
  <c r="G5" i="172"/>
  <c r="F22" i="172"/>
  <c r="D14" i="169"/>
  <c r="D28" i="169" s="1"/>
  <c r="E22" i="170"/>
  <c r="K22" i="170"/>
  <c r="H22" i="170"/>
  <c r="C22" i="170"/>
  <c r="D22" i="170"/>
  <c r="O22" i="170"/>
  <c r="M22" i="170"/>
  <c r="J22" i="170"/>
  <c r="G22" i="170"/>
  <c r="L22" i="170"/>
  <c r="I22" i="170"/>
  <c r="N22" i="170"/>
  <c r="F22" i="170"/>
  <c r="V12" i="172"/>
  <c r="D12" i="172"/>
  <c r="L12" i="172"/>
  <c r="N12" i="172"/>
  <c r="T12" i="172"/>
  <c r="C12" i="172"/>
  <c r="R12" i="172"/>
  <c r="J12" i="172"/>
  <c r="Q12" i="172"/>
  <c r="I12" i="172"/>
  <c r="O12" i="172"/>
  <c r="U12" i="172"/>
  <c r="M12" i="172"/>
  <c r="S12" i="172"/>
  <c r="P12" i="172"/>
  <c r="E12" i="172"/>
  <c r="K12" i="172"/>
  <c r="H12" i="172"/>
  <c r="F12" i="170"/>
  <c r="N12" i="170"/>
  <c r="G12" i="170"/>
  <c r="O12" i="170"/>
  <c r="H12" i="170"/>
  <c r="I12" i="170"/>
  <c r="J12" i="170"/>
  <c r="C12" i="170"/>
  <c r="K12" i="170"/>
  <c r="D12" i="170"/>
  <c r="L12" i="170"/>
  <c r="E12" i="170"/>
  <c r="M12" i="170"/>
  <c r="Q12" i="170"/>
  <c r="R9" i="170"/>
  <c r="P5" i="170"/>
  <c r="R14" i="170"/>
  <c r="Q18" i="170"/>
  <c r="R13" i="170"/>
  <c r="W10" i="172"/>
  <c r="G12" i="172"/>
  <c r="F26" i="172"/>
  <c r="F13" i="172"/>
  <c r="F12" i="172"/>
  <c r="F18" i="172"/>
  <c r="F12" i="140"/>
  <c r="C10" i="149"/>
  <c r="F7" i="149"/>
  <c r="F8" i="149"/>
  <c r="X25" i="172"/>
  <c r="F5" i="149"/>
  <c r="W14" i="172"/>
  <c r="Y14" i="172" s="1"/>
  <c r="X26" i="172"/>
  <c r="X10" i="172"/>
  <c r="F6" i="149"/>
  <c r="D62" i="169"/>
  <c r="C31" i="169"/>
  <c r="A28" i="169"/>
  <c r="D57" i="169"/>
  <c r="W9" i="172"/>
  <c r="Y9" i="172" s="1"/>
  <c r="X18" i="172"/>
  <c r="R20" i="170"/>
  <c r="D59" i="169"/>
  <c r="C50" i="169"/>
  <c r="D50" i="169" s="1"/>
  <c r="D65" i="169"/>
  <c r="D46" i="169" l="1"/>
  <c r="B10" i="170"/>
  <c r="B23" i="149"/>
  <c r="D5" i="140" s="1"/>
  <c r="D48" i="152"/>
  <c r="J10" i="140" s="1"/>
  <c r="G22" i="172"/>
  <c r="G21" i="172"/>
  <c r="G20" i="172"/>
  <c r="W20" i="172" s="1"/>
  <c r="Y20" i="172" s="1"/>
  <c r="W21" i="172"/>
  <c r="U13" i="105"/>
  <c r="M13" i="105"/>
  <c r="P13" i="105"/>
  <c r="O13" i="105"/>
  <c r="Q13" i="105"/>
  <c r="H13" i="105"/>
  <c r="V13" i="105"/>
  <c r="AV13" i="105"/>
  <c r="J13" i="105"/>
  <c r="R13" i="105"/>
  <c r="K13" i="105"/>
  <c r="I13" i="105"/>
  <c r="G13" i="105"/>
  <c r="T13" i="105"/>
  <c r="S13" i="105"/>
  <c r="L13" i="105"/>
  <c r="D13" i="105"/>
  <c r="F13" i="105"/>
  <c r="C13" i="105"/>
  <c r="N13" i="105"/>
  <c r="W5" i="172"/>
  <c r="G26" i="172"/>
  <c r="W26" i="172" s="1"/>
  <c r="Y26" i="172" s="1"/>
  <c r="G13" i="172"/>
  <c r="W13" i="172" s="1"/>
  <c r="Y13" i="172" s="1"/>
  <c r="G18" i="172"/>
  <c r="W18" i="172" s="1"/>
  <c r="Y18" i="172" s="1"/>
  <c r="W22" i="172"/>
  <c r="Y22" i="172" s="1"/>
  <c r="P22" i="170"/>
  <c r="R22" i="170" s="1"/>
  <c r="D58" i="169"/>
  <c r="P12" i="170"/>
  <c r="R12" i="170" s="1"/>
  <c r="R18" i="170"/>
  <c r="C63" i="169"/>
  <c r="B27" i="170" s="1"/>
  <c r="C14" i="169"/>
  <c r="Y10" i="172"/>
  <c r="B21" i="169"/>
  <c r="C7" i="169"/>
  <c r="C32" i="169" s="1"/>
  <c r="D7" i="169"/>
  <c r="W25" i="172"/>
  <c r="Y25" i="172" s="1"/>
  <c r="C10" i="170" l="1"/>
  <c r="P10" i="170" s="1"/>
  <c r="Q10" i="170"/>
  <c r="B75" i="152"/>
  <c r="B88" i="152"/>
  <c r="B89" i="152" s="1"/>
  <c r="B90" i="152" s="1"/>
  <c r="AU13" i="105"/>
  <c r="AW13" i="105" s="1"/>
  <c r="H7" i="170"/>
  <c r="K7" i="170"/>
  <c r="O7" i="170"/>
  <c r="J7" i="170"/>
  <c r="N7" i="170"/>
  <c r="D7" i="170"/>
  <c r="G7" i="170"/>
  <c r="L7" i="170"/>
  <c r="I7" i="170"/>
  <c r="F7" i="170"/>
  <c r="C7" i="170"/>
  <c r="M7" i="170"/>
  <c r="E7" i="170"/>
  <c r="Q7" i="170"/>
  <c r="H19" i="170"/>
  <c r="M19" i="170"/>
  <c r="O19" i="170"/>
  <c r="E19" i="170"/>
  <c r="J19" i="170"/>
  <c r="C19" i="170"/>
  <c r="G19" i="170"/>
  <c r="N19" i="170"/>
  <c r="L19" i="170"/>
  <c r="F19" i="170"/>
  <c r="D19" i="170"/>
  <c r="I19" i="170"/>
  <c r="K19" i="170"/>
  <c r="Q19" i="170"/>
  <c r="B23" i="169"/>
  <c r="B24" i="169" s="1"/>
  <c r="D8" i="140"/>
  <c r="C11" i="170"/>
  <c r="P11" i="170" s="1"/>
  <c r="Q11" i="170"/>
  <c r="D63" i="169"/>
  <c r="B24" i="172"/>
  <c r="B23" i="172"/>
  <c r="D27" i="169"/>
  <c r="R10" i="170" l="1"/>
  <c r="B95" i="152"/>
  <c r="B96" i="152"/>
  <c r="C23" i="170"/>
  <c r="P23" i="170" s="1"/>
  <c r="Q23" i="170"/>
  <c r="R11" i="170"/>
  <c r="P7" i="170"/>
  <c r="R7" i="170" s="1"/>
  <c r="P19" i="170"/>
  <c r="R19" i="170" s="1"/>
  <c r="G8" i="170"/>
  <c r="K8" i="170"/>
  <c r="E8" i="170"/>
  <c r="C8" i="170"/>
  <c r="L8" i="170"/>
  <c r="M8" i="170"/>
  <c r="F8" i="170"/>
  <c r="J8" i="170"/>
  <c r="I8" i="170"/>
  <c r="D8" i="170"/>
  <c r="O8" i="170"/>
  <c r="N8" i="170"/>
  <c r="H8" i="170"/>
  <c r="Q8" i="170"/>
  <c r="L6" i="170"/>
  <c r="J6" i="170"/>
  <c r="M6" i="170"/>
  <c r="D6" i="170"/>
  <c r="I6" i="170"/>
  <c r="C6" i="170"/>
  <c r="N6" i="170"/>
  <c r="G6" i="170"/>
  <c r="H6" i="170"/>
  <c r="O6" i="170"/>
  <c r="E6" i="170"/>
  <c r="F6" i="170"/>
  <c r="K6" i="170"/>
  <c r="Q6" i="170"/>
  <c r="C27" i="169"/>
  <c r="B27" i="169"/>
  <c r="C24" i="172"/>
  <c r="C23" i="172"/>
  <c r="P23" i="172"/>
  <c r="H23" i="172"/>
  <c r="J23" i="172"/>
  <c r="R23" i="172"/>
  <c r="N23" i="172"/>
  <c r="D23" i="172"/>
  <c r="O23" i="172"/>
  <c r="T23" i="172"/>
  <c r="V23" i="172"/>
  <c r="Q23" i="172"/>
  <c r="U23" i="172"/>
  <c r="I23" i="172"/>
  <c r="M23" i="172"/>
  <c r="K23" i="172"/>
  <c r="E23" i="172"/>
  <c r="S23" i="172"/>
  <c r="L23" i="172"/>
  <c r="G23" i="172"/>
  <c r="F23" i="172"/>
  <c r="B6" i="172"/>
  <c r="D29" i="169"/>
  <c r="R23" i="170" l="1"/>
  <c r="W24" i="172"/>
  <c r="P6" i="170"/>
  <c r="R6" i="170" s="1"/>
  <c r="D56" i="169"/>
  <c r="D15" i="170"/>
  <c r="O15" i="170"/>
  <c r="G15" i="170"/>
  <c r="K15" i="170"/>
  <c r="J15" i="170"/>
  <c r="H15" i="170"/>
  <c r="M15" i="170"/>
  <c r="F15" i="170"/>
  <c r="C15" i="170"/>
  <c r="N15" i="170"/>
  <c r="E15" i="170"/>
  <c r="L15" i="170"/>
  <c r="I15" i="170"/>
  <c r="Q15" i="170"/>
  <c r="P8" i="170"/>
  <c r="R8" i="170" s="1"/>
  <c r="D34" i="169"/>
  <c r="W23" i="172"/>
  <c r="V6" i="172"/>
  <c r="Q6" i="172"/>
  <c r="O6" i="172"/>
  <c r="I6" i="172"/>
  <c r="S6" i="172"/>
  <c r="N6" i="172"/>
  <c r="D6" i="172"/>
  <c r="J6" i="172"/>
  <c r="L6" i="172"/>
  <c r="R6" i="172"/>
  <c r="T6" i="172"/>
  <c r="H6" i="172"/>
  <c r="M6" i="172"/>
  <c r="K6" i="172"/>
  <c r="U6" i="172"/>
  <c r="P6" i="172"/>
  <c r="E6" i="172"/>
  <c r="C6" i="172"/>
  <c r="G6" i="172"/>
  <c r="F6" i="172"/>
  <c r="C53" i="171"/>
  <c r="D54" i="169"/>
  <c r="C37" i="169" l="1"/>
  <c r="C60" i="169"/>
  <c r="D53" i="171"/>
  <c r="C62" i="171"/>
  <c r="D62" i="171" s="1"/>
  <c r="C60" i="171"/>
  <c r="B11" i="172"/>
  <c r="C11" i="172" s="1"/>
  <c r="B7" i="172"/>
  <c r="Q7" i="172" s="1"/>
  <c r="J17" i="170"/>
  <c r="L17" i="170"/>
  <c r="C17" i="170"/>
  <c r="M17" i="170"/>
  <c r="I17" i="170"/>
  <c r="D17" i="170"/>
  <c r="O17" i="170"/>
  <c r="G17" i="170"/>
  <c r="E17" i="170"/>
  <c r="K17" i="170"/>
  <c r="N17" i="170"/>
  <c r="H17" i="170"/>
  <c r="F17" i="170"/>
  <c r="Q17" i="170"/>
  <c r="P15" i="170"/>
  <c r="R15" i="170" s="1"/>
  <c r="B19" i="172"/>
  <c r="J19" i="172" s="1"/>
  <c r="D55" i="169"/>
  <c r="B8" i="172"/>
  <c r="D33" i="169"/>
  <c r="D35" i="169" s="1"/>
  <c r="C35" i="169" s="1"/>
  <c r="B37" i="169"/>
  <c r="D60" i="171" l="1"/>
  <c r="D60" i="169"/>
  <c r="C67" i="169"/>
  <c r="B24" i="170"/>
  <c r="C61" i="171"/>
  <c r="F7" i="172"/>
  <c r="V7" i="172"/>
  <c r="U7" i="172"/>
  <c r="C19" i="172"/>
  <c r="K7" i="172"/>
  <c r="M19" i="172"/>
  <c r="L7" i="172"/>
  <c r="N19" i="172"/>
  <c r="R7" i="172"/>
  <c r="U19" i="172"/>
  <c r="G7" i="172"/>
  <c r="T7" i="172"/>
  <c r="S7" i="172"/>
  <c r="P7" i="172"/>
  <c r="V19" i="172"/>
  <c r="I7" i="172"/>
  <c r="Q19" i="172"/>
  <c r="M7" i="172"/>
  <c r="D7" i="172"/>
  <c r="G19" i="172"/>
  <c r="E19" i="172"/>
  <c r="S19" i="172"/>
  <c r="H7" i="172"/>
  <c r="C7" i="172"/>
  <c r="J7" i="172"/>
  <c r="T19" i="172"/>
  <c r="N7" i="172"/>
  <c r="O7" i="172"/>
  <c r="E7" i="172"/>
  <c r="P19" i="172"/>
  <c r="R19" i="172"/>
  <c r="F21" i="170"/>
  <c r="D21" i="170"/>
  <c r="I21" i="170"/>
  <c r="L21" i="170"/>
  <c r="O21" i="170"/>
  <c r="H21" i="170"/>
  <c r="G21" i="170"/>
  <c r="K21" i="170"/>
  <c r="N21" i="170"/>
  <c r="C21" i="170"/>
  <c r="M21" i="170"/>
  <c r="E21" i="170"/>
  <c r="J21" i="170"/>
  <c r="Q21" i="170"/>
  <c r="P17" i="170"/>
  <c r="R17" i="170" s="1"/>
  <c r="H19" i="172"/>
  <c r="F19" i="172"/>
  <c r="K19" i="172"/>
  <c r="D19" i="172"/>
  <c r="O19" i="172"/>
  <c r="I19" i="172"/>
  <c r="L19" i="172"/>
  <c r="C16" i="170"/>
  <c r="K16" i="170"/>
  <c r="F16" i="170"/>
  <c r="N16" i="170"/>
  <c r="D16" i="170"/>
  <c r="L16" i="170"/>
  <c r="E16" i="170"/>
  <c r="M16" i="170"/>
  <c r="G16" i="170"/>
  <c r="O16" i="170"/>
  <c r="H16" i="170"/>
  <c r="I16" i="170"/>
  <c r="J16" i="170"/>
  <c r="Q16" i="170"/>
  <c r="B31" i="170"/>
  <c r="B15" i="172"/>
  <c r="B17" i="172"/>
  <c r="P8" i="172"/>
  <c r="C8" i="172"/>
  <c r="R8" i="172"/>
  <c r="H8" i="172"/>
  <c r="E8" i="172"/>
  <c r="V8" i="172"/>
  <c r="J8" i="172"/>
  <c r="K8" i="172"/>
  <c r="N8" i="172"/>
  <c r="T8" i="172"/>
  <c r="U8" i="172"/>
  <c r="D8" i="172"/>
  <c r="L8" i="172"/>
  <c r="M8" i="172"/>
  <c r="S8" i="172"/>
  <c r="Q8" i="172"/>
  <c r="I8" i="172"/>
  <c r="O8" i="172"/>
  <c r="G8" i="172"/>
  <c r="F8" i="172"/>
  <c r="D38" i="169"/>
  <c r="B38" i="169" s="1"/>
  <c r="B35" i="169"/>
  <c r="D61" i="169"/>
  <c r="D61" i="171" l="1"/>
  <c r="I24" i="170"/>
  <c r="G24" i="170"/>
  <c r="H24" i="170"/>
  <c r="O24" i="170"/>
  <c r="O31" i="170" s="1"/>
  <c r="N24" i="170"/>
  <c r="N31" i="170" s="1"/>
  <c r="F24" i="170"/>
  <c r="F31" i="170" s="1"/>
  <c r="C24" i="170"/>
  <c r="P24" i="170" s="1"/>
  <c r="M24" i="170"/>
  <c r="M31" i="170" s="1"/>
  <c r="E24" i="170"/>
  <c r="D24" i="170"/>
  <c r="D31" i="170" s="1"/>
  <c r="L24" i="170"/>
  <c r="K24" i="170"/>
  <c r="K31" i="170" s="1"/>
  <c r="J24" i="170"/>
  <c r="J31" i="170" s="1"/>
  <c r="Q24" i="170"/>
  <c r="Q31" i="170" s="1"/>
  <c r="H31" i="170"/>
  <c r="I31" i="170"/>
  <c r="L31" i="170"/>
  <c r="P21" i="170"/>
  <c r="R21" i="170" s="1"/>
  <c r="G31" i="170"/>
  <c r="E31" i="170"/>
  <c r="P16" i="170"/>
  <c r="B16" i="172"/>
  <c r="I17" i="172"/>
  <c r="H17" i="172"/>
  <c r="N17" i="172"/>
  <c r="P17" i="172"/>
  <c r="V17" i="172"/>
  <c r="O17" i="172"/>
  <c r="S17" i="172"/>
  <c r="M17" i="172"/>
  <c r="K17" i="172"/>
  <c r="C17" i="172"/>
  <c r="Q17" i="172"/>
  <c r="T17" i="172"/>
  <c r="R17" i="172"/>
  <c r="L17" i="172"/>
  <c r="J17" i="172"/>
  <c r="U17" i="172"/>
  <c r="D17" i="172"/>
  <c r="E17" i="172"/>
  <c r="F17" i="172"/>
  <c r="G17" i="172"/>
  <c r="E15" i="172"/>
  <c r="R15" i="172"/>
  <c r="D15" i="172"/>
  <c r="J15" i="172"/>
  <c r="L15" i="172"/>
  <c r="T15" i="172"/>
  <c r="V15" i="172"/>
  <c r="O15" i="172"/>
  <c r="P15" i="172"/>
  <c r="N15" i="172"/>
  <c r="U15" i="172"/>
  <c r="H15" i="172"/>
  <c r="M15" i="172"/>
  <c r="C15" i="172"/>
  <c r="Q15" i="172"/>
  <c r="S15" i="172"/>
  <c r="I15" i="172"/>
  <c r="K15" i="172"/>
  <c r="F15" i="172"/>
  <c r="G15" i="172"/>
  <c r="D39" i="169"/>
  <c r="C72" i="171"/>
  <c r="D72" i="171" l="1"/>
  <c r="B82" i="171"/>
  <c r="B83" i="171"/>
  <c r="C31" i="170"/>
  <c r="R24" i="170"/>
  <c r="I46" i="170"/>
  <c r="Y21" i="159" s="1"/>
  <c r="M46" i="170"/>
  <c r="AC21" i="159" s="1"/>
  <c r="J46" i="170"/>
  <c r="Z21" i="159" s="1"/>
  <c r="D46" i="170"/>
  <c r="T21" i="159" s="1"/>
  <c r="E46" i="170"/>
  <c r="U21" i="159" s="1"/>
  <c r="G46" i="170"/>
  <c r="W21" i="159" s="1"/>
  <c r="F46" i="170"/>
  <c r="V21" i="159" s="1"/>
  <c r="N46" i="170"/>
  <c r="AD21" i="159" s="1"/>
  <c r="K46" i="170"/>
  <c r="AA21" i="159" s="1"/>
  <c r="L46" i="170"/>
  <c r="AB21" i="159" s="1"/>
  <c r="H46" i="170"/>
  <c r="X21" i="159" s="1"/>
  <c r="P31" i="170"/>
  <c r="B70" i="169"/>
  <c r="J8" i="140"/>
  <c r="R16" i="170"/>
  <c r="N16" i="172"/>
  <c r="V16" i="172"/>
  <c r="S16" i="172"/>
  <c r="L16" i="172"/>
  <c r="O16" i="172"/>
  <c r="U16" i="172"/>
  <c r="K16" i="172"/>
  <c r="M16" i="172"/>
  <c r="C16" i="172"/>
  <c r="E16" i="172"/>
  <c r="Q16" i="172"/>
  <c r="R16" i="172"/>
  <c r="P16" i="172"/>
  <c r="H16" i="172"/>
  <c r="I16" i="172"/>
  <c r="T16" i="172"/>
  <c r="D16" i="172"/>
  <c r="J16" i="172"/>
  <c r="G16" i="172"/>
  <c r="F16" i="172"/>
  <c r="B83" i="169"/>
  <c r="B84" i="169" s="1"/>
  <c r="B85" i="169" s="1"/>
  <c r="E69" i="171"/>
  <c r="C46" i="170" l="1"/>
  <c r="S21" i="159" s="1"/>
  <c r="C34" i="170"/>
  <c r="C82" i="171"/>
  <c r="M11" i="140"/>
  <c r="B31" i="172"/>
  <c r="L11" i="140"/>
  <c r="C83" i="171"/>
  <c r="B32" i="172"/>
  <c r="E70" i="171"/>
  <c r="B90" i="169"/>
  <c r="B92" i="171"/>
  <c r="B84" i="171"/>
  <c r="C84" i="171" s="1"/>
  <c r="B91" i="171"/>
  <c r="B91" i="169"/>
  <c r="C41" i="170" l="1"/>
  <c r="S10" i="159" s="1"/>
  <c r="C35" i="170"/>
  <c r="E10" i="140" l="1"/>
  <c r="E11" i="140"/>
  <c r="E8" i="140"/>
  <c r="E5" i="140"/>
  <c r="B22" i="149" l="1"/>
  <c r="C1" i="105"/>
  <c r="D1" i="105"/>
  <c r="E1" i="105"/>
  <c r="F1" i="105"/>
  <c r="C2" i="105"/>
  <c r="D2" i="105"/>
  <c r="E2" i="105"/>
  <c r="F2" i="105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AF3" i="105" s="1"/>
  <c r="AG3" i="105" s="1"/>
  <c r="AH3" i="105" s="1"/>
  <c r="AI3" i="105" s="1"/>
  <c r="AJ3" i="105" s="1"/>
  <c r="AK3" i="105" s="1"/>
  <c r="AL3" i="105" s="1"/>
  <c r="AM3" i="105" s="1"/>
  <c r="AN3" i="105" s="1"/>
  <c r="AO3" i="105" s="1"/>
  <c r="AP3" i="105" s="1"/>
  <c r="AQ3" i="105" s="1"/>
  <c r="AR3" i="105" s="1"/>
  <c r="AS3" i="105" s="1"/>
  <c r="AT3" i="105" s="1"/>
  <c r="A15" i="105"/>
  <c r="A16" i="105"/>
  <c r="A17" i="105"/>
  <c r="B17" i="105"/>
  <c r="F17" i="105" s="1"/>
  <c r="A18" i="105"/>
  <c r="A19" i="105"/>
  <c r="A20" i="105"/>
  <c r="A21" i="105"/>
  <c r="A22" i="105"/>
  <c r="A23" i="105"/>
  <c r="B23" i="105"/>
  <c r="A24" i="105"/>
  <c r="B24" i="105"/>
  <c r="A25" i="105"/>
  <c r="B33" i="105"/>
  <c r="C48" i="149" l="1"/>
  <c r="B19" i="105" s="1"/>
  <c r="H19" i="105" s="1"/>
  <c r="C47" i="149"/>
  <c r="U23" i="105"/>
  <c r="C23" i="105"/>
  <c r="V23" i="105"/>
  <c r="T23" i="105"/>
  <c r="T24" i="105"/>
  <c r="U24" i="105"/>
  <c r="V24" i="105"/>
  <c r="I24" i="105"/>
  <c r="Q24" i="105"/>
  <c r="J24" i="105"/>
  <c r="R24" i="105"/>
  <c r="O24" i="105"/>
  <c r="P24" i="105"/>
  <c r="C24" i="105"/>
  <c r="K24" i="105"/>
  <c r="S24" i="105"/>
  <c r="D24" i="105"/>
  <c r="M24" i="105"/>
  <c r="H24" i="105"/>
  <c r="L24" i="105"/>
  <c r="E24" i="105"/>
  <c r="N24" i="105"/>
  <c r="F24" i="105"/>
  <c r="G24" i="105"/>
  <c r="AV23" i="105"/>
  <c r="S23" i="105"/>
  <c r="C17" i="105"/>
  <c r="T17" i="105"/>
  <c r="S17" i="105"/>
  <c r="P17" i="105"/>
  <c r="N17" i="105"/>
  <c r="R17" i="105"/>
  <c r="L17" i="105"/>
  <c r="AV17" i="105"/>
  <c r="J17" i="105"/>
  <c r="V17" i="105"/>
  <c r="D17" i="105"/>
  <c r="K17" i="105"/>
  <c r="AV24" i="105"/>
  <c r="H17" i="105"/>
  <c r="G17" i="105"/>
  <c r="AU4" i="105"/>
  <c r="U17" i="105"/>
  <c r="M17" i="105"/>
  <c r="E17" i="105"/>
  <c r="Q17" i="105"/>
  <c r="I17" i="105"/>
  <c r="O17" i="105"/>
  <c r="N19" i="105" l="1"/>
  <c r="Q19" i="105"/>
  <c r="C19" i="105"/>
  <c r="AV19" i="105"/>
  <c r="L19" i="105"/>
  <c r="I19" i="105"/>
  <c r="F19" i="105"/>
  <c r="S19" i="105"/>
  <c r="O19" i="105"/>
  <c r="T19" i="105"/>
  <c r="U19" i="105"/>
  <c r="E19" i="105"/>
  <c r="J19" i="105"/>
  <c r="R19" i="105"/>
  <c r="D19" i="105"/>
  <c r="P19" i="105"/>
  <c r="G19" i="105"/>
  <c r="K19" i="105"/>
  <c r="M19" i="105"/>
  <c r="V19" i="105"/>
  <c r="AU23" i="105"/>
  <c r="AW23" i="105" s="1"/>
  <c r="AU24" i="105"/>
  <c r="AW24" i="105" s="1"/>
  <c r="AU17" i="105"/>
  <c r="AW17" i="105" s="1"/>
  <c r="AU19" i="105" l="1"/>
  <c r="AW19" i="105" s="1"/>
  <c r="E9" i="140"/>
  <c r="C34" i="149"/>
  <c r="D2" i="149"/>
  <c r="A65" i="149"/>
  <c r="C35" i="149"/>
  <c r="B6" i="105" s="1"/>
  <c r="B24" i="149"/>
  <c r="B20" i="149"/>
  <c r="B16" i="149"/>
  <c r="C50" i="149" s="1"/>
  <c r="B21" i="105" s="1"/>
  <c r="C15" i="149"/>
  <c r="D15" i="149" s="1"/>
  <c r="D14" i="149"/>
  <c r="C51" i="149" s="1"/>
  <c r="D1" i="152"/>
  <c r="A1" i="105" l="1"/>
  <c r="B5" i="105"/>
  <c r="S5" i="105" s="1"/>
  <c r="B28" i="152"/>
  <c r="I6" i="105"/>
  <c r="G6" i="105"/>
  <c r="O6" i="105"/>
  <c r="H6" i="105"/>
  <c r="P6" i="105"/>
  <c r="AV6" i="105"/>
  <c r="S6" i="105"/>
  <c r="U6" i="105"/>
  <c r="K6" i="105"/>
  <c r="M6" i="105"/>
  <c r="C6" i="105"/>
  <c r="E6" i="105"/>
  <c r="V6" i="105"/>
  <c r="T6" i="105"/>
  <c r="R6" i="105"/>
  <c r="F6" i="105"/>
  <c r="D6" i="105"/>
  <c r="Q6" i="105"/>
  <c r="N6" i="105"/>
  <c r="L6" i="105"/>
  <c r="J6" i="105"/>
  <c r="C69" i="149"/>
  <c r="B21" i="149"/>
  <c r="T21" i="105"/>
  <c r="V21" i="105"/>
  <c r="U21" i="105"/>
  <c r="D21" i="105"/>
  <c r="L21" i="105"/>
  <c r="E21" i="105"/>
  <c r="M21" i="105"/>
  <c r="G21" i="105"/>
  <c r="H21" i="105"/>
  <c r="P21" i="105"/>
  <c r="J21" i="105"/>
  <c r="R21" i="105"/>
  <c r="F21" i="105"/>
  <c r="N21" i="105"/>
  <c r="K21" i="105"/>
  <c r="S21" i="105"/>
  <c r="O21" i="105"/>
  <c r="I21" i="105"/>
  <c r="Q21" i="105"/>
  <c r="C21" i="105"/>
  <c r="AV21" i="105"/>
  <c r="B11" i="105"/>
  <c r="D34" i="149"/>
  <c r="C39" i="149"/>
  <c r="D37" i="149"/>
  <c r="D48" i="149"/>
  <c r="D42" i="149"/>
  <c r="D46" i="149"/>
  <c r="D38" i="149"/>
  <c r="D41" i="149"/>
  <c r="D52" i="149"/>
  <c r="D53" i="149"/>
  <c r="D51" i="149"/>
  <c r="B22" i="105"/>
  <c r="D35" i="149"/>
  <c r="D40" i="149"/>
  <c r="A66" i="149"/>
  <c r="F10" i="149"/>
  <c r="C11" i="149"/>
  <c r="B25" i="149"/>
  <c r="B26" i="149" s="1"/>
  <c r="D47" i="149"/>
  <c r="D16" i="149"/>
  <c r="C16" i="149" s="1"/>
  <c r="C61" i="149"/>
  <c r="C32" i="149"/>
  <c r="M5" i="105" l="1"/>
  <c r="G5" i="105"/>
  <c r="J5" i="105"/>
  <c r="I5" i="105"/>
  <c r="E5" i="105"/>
  <c r="AV5" i="105"/>
  <c r="K5" i="105"/>
  <c r="D5" i="105"/>
  <c r="H5" i="105"/>
  <c r="V5" i="105"/>
  <c r="U5" i="105"/>
  <c r="N5" i="105"/>
  <c r="R5" i="105"/>
  <c r="O5" i="105"/>
  <c r="T5" i="105"/>
  <c r="L5" i="105"/>
  <c r="AU21" i="105"/>
  <c r="AW21" i="105" s="1"/>
  <c r="P5" i="105"/>
  <c r="Q5" i="105"/>
  <c r="F5" i="105"/>
  <c r="C5" i="105"/>
  <c r="AU6" i="105"/>
  <c r="AW6" i="105" s="1"/>
  <c r="C22" i="105"/>
  <c r="V22" i="105"/>
  <c r="T22" i="105"/>
  <c r="U22" i="105"/>
  <c r="E11" i="105"/>
  <c r="F11" i="105"/>
  <c r="N11" i="105"/>
  <c r="V11" i="105"/>
  <c r="G11" i="105"/>
  <c r="O11" i="105"/>
  <c r="AV11" i="105"/>
  <c r="P11" i="105"/>
  <c r="I11" i="105"/>
  <c r="Q11" i="105"/>
  <c r="J11" i="105"/>
  <c r="H11" i="105"/>
  <c r="C11" i="105"/>
  <c r="K11" i="105"/>
  <c r="S11" i="105"/>
  <c r="D11" i="105"/>
  <c r="L11" i="105"/>
  <c r="T11" i="105"/>
  <c r="M11" i="105"/>
  <c r="U11" i="105"/>
  <c r="R11" i="105"/>
  <c r="D39" i="149"/>
  <c r="B10" i="105"/>
  <c r="AV22" i="105"/>
  <c r="S22" i="105"/>
  <c r="D29" i="149"/>
  <c r="B29" i="149" s="1"/>
  <c r="E11" i="149"/>
  <c r="B18" i="105"/>
  <c r="C36" i="149"/>
  <c r="AV8" i="155"/>
  <c r="AW8" i="158"/>
  <c r="AV8" i="158"/>
  <c r="D2" i="164"/>
  <c r="D1" i="160"/>
  <c r="D1" i="157"/>
  <c r="B21" i="157" s="1"/>
  <c r="D2" i="150"/>
  <c r="A1" i="156" l="1"/>
  <c r="A1" i="165"/>
  <c r="C49" i="152"/>
  <c r="C34" i="152" s="1"/>
  <c r="AU5" i="105"/>
  <c r="AW5" i="105" s="1"/>
  <c r="A1" i="158"/>
  <c r="D2" i="169"/>
  <c r="A1" i="170"/>
  <c r="D36" i="149"/>
  <c r="B7" i="105"/>
  <c r="AU22" i="105"/>
  <c r="AW22" i="105" s="1"/>
  <c r="T18" i="105"/>
  <c r="U18" i="105"/>
  <c r="V18" i="105"/>
  <c r="AU11" i="105"/>
  <c r="AW11" i="105" s="1"/>
  <c r="C10" i="105"/>
  <c r="AU10" i="105" s="1"/>
  <c r="AV10" i="105"/>
  <c r="AV18" i="105"/>
  <c r="G18" i="105"/>
  <c r="O18" i="105"/>
  <c r="K18" i="105"/>
  <c r="H18" i="105"/>
  <c r="P18" i="105"/>
  <c r="S18" i="105"/>
  <c r="L18" i="105"/>
  <c r="I18" i="105"/>
  <c r="Q18" i="105"/>
  <c r="R18" i="105"/>
  <c r="D18" i="105"/>
  <c r="J18" i="105"/>
  <c r="M18" i="105"/>
  <c r="N18" i="105"/>
  <c r="C18" i="105"/>
  <c r="E18" i="105"/>
  <c r="F18" i="105"/>
  <c r="C29" i="149"/>
  <c r="D30" i="149"/>
  <c r="D31" i="149" s="1"/>
  <c r="C77" i="150"/>
  <c r="C78" i="171"/>
  <c r="C49" i="171"/>
  <c r="C86" i="171"/>
  <c r="C34" i="171"/>
  <c r="A1" i="172"/>
  <c r="C45" i="149"/>
  <c r="D45" i="149" s="1"/>
  <c r="C43" i="149"/>
  <c r="C75" i="164"/>
  <c r="D37" i="164"/>
  <c r="C67" i="164"/>
  <c r="D26" i="164"/>
  <c r="B20" i="164"/>
  <c r="C81" i="153"/>
  <c r="C73" i="153"/>
  <c r="C29" i="153"/>
  <c r="C43" i="153"/>
  <c r="C86" i="152"/>
  <c r="C78" i="152"/>
  <c r="A1" i="162"/>
  <c r="C85" i="150"/>
  <c r="C32" i="150"/>
  <c r="C47" i="150"/>
  <c r="A1" i="154"/>
  <c r="V9" i="162"/>
  <c r="B24" i="158"/>
  <c r="AF24" i="158" s="1"/>
  <c r="B19" i="158"/>
  <c r="AC19" i="158" s="1"/>
  <c r="AV19" i="158" s="1"/>
  <c r="AX19" i="158" s="1"/>
  <c r="AF19" i="158"/>
  <c r="B21" i="158"/>
  <c r="AF21" i="158" s="1"/>
  <c r="AV21" i="158" s="1"/>
  <c r="B25" i="158"/>
  <c r="AB25" i="158" s="1"/>
  <c r="AF25" i="158"/>
  <c r="AE19" i="158"/>
  <c r="AE21" i="158"/>
  <c r="AD19" i="158"/>
  <c r="AD21" i="158"/>
  <c r="AD24" i="158"/>
  <c r="AD25" i="158"/>
  <c r="AC21" i="158"/>
  <c r="AC24" i="158"/>
  <c r="AC25" i="158"/>
  <c r="AA24" i="158"/>
  <c r="AA25" i="158"/>
  <c r="Y24" i="158"/>
  <c r="Y25" i="158"/>
  <c r="W25" i="158"/>
  <c r="B18" i="158"/>
  <c r="Q18" i="158" s="1"/>
  <c r="T25" i="158"/>
  <c r="R25" i="158"/>
  <c r="B9" i="158"/>
  <c r="Q9" i="158" s="1"/>
  <c r="AV9" i="158" s="1"/>
  <c r="AX9" i="158" s="1"/>
  <c r="B10" i="158"/>
  <c r="Q10" i="158"/>
  <c r="Q25" i="158"/>
  <c r="F4" i="158"/>
  <c r="G4" i="158"/>
  <c r="H4" i="158" s="1"/>
  <c r="B23" i="158"/>
  <c r="P23" i="158"/>
  <c r="B13" i="158"/>
  <c r="H13" i="158" s="1"/>
  <c r="AV13" i="158" s="1"/>
  <c r="AX13" i="158" s="1"/>
  <c r="D23" i="158"/>
  <c r="C23" i="158"/>
  <c r="B25" i="154"/>
  <c r="B20" i="154"/>
  <c r="B18" i="154"/>
  <c r="B9" i="154"/>
  <c r="B10" i="154"/>
  <c r="C10" i="154" s="1"/>
  <c r="B14" i="154"/>
  <c r="AV5" i="154"/>
  <c r="E6" i="140"/>
  <c r="A82" i="152"/>
  <c r="A83" i="152" s="1"/>
  <c r="A82" i="150"/>
  <c r="B49" i="150"/>
  <c r="C49" i="150" s="1"/>
  <c r="C50" i="160"/>
  <c r="B44" i="160"/>
  <c r="C44" i="160" s="1"/>
  <c r="C46" i="160" s="1"/>
  <c r="B45" i="160"/>
  <c r="C45" i="160" s="1"/>
  <c r="B6" i="155" s="1"/>
  <c r="E6" i="155" s="1"/>
  <c r="C14" i="160"/>
  <c r="D14" i="160" s="1"/>
  <c r="C15" i="160"/>
  <c r="D15" i="160" s="1"/>
  <c r="A75" i="160"/>
  <c r="A76" i="160" s="1"/>
  <c r="B12" i="156"/>
  <c r="B98" i="153"/>
  <c r="A78" i="153"/>
  <c r="AQ41" i="165"/>
  <c r="AP41" i="165"/>
  <c r="AO41" i="165"/>
  <c r="D55" i="150"/>
  <c r="AN41" i="165"/>
  <c r="AM41" i="165"/>
  <c r="D13" i="164"/>
  <c r="D15" i="164" s="1"/>
  <c r="B24" i="165"/>
  <c r="B93" i="164"/>
  <c r="B17" i="165"/>
  <c r="C50" i="157"/>
  <c r="B11" i="158" s="1"/>
  <c r="AW11" i="158" s="1"/>
  <c r="B44" i="157"/>
  <c r="C44" i="157" s="1"/>
  <c r="C46" i="157" s="1"/>
  <c r="B45" i="157"/>
  <c r="C45" i="157" s="1"/>
  <c r="C56" i="157"/>
  <c r="D56" i="157" s="1"/>
  <c r="C14" i="157"/>
  <c r="D14" i="157" s="1"/>
  <c r="C15" i="157"/>
  <c r="D15" i="157" s="1"/>
  <c r="B33" i="157"/>
  <c r="D33" i="157" s="1"/>
  <c r="C41" i="157"/>
  <c r="B96" i="157" s="1"/>
  <c r="AJ24" i="158"/>
  <c r="A75" i="157"/>
  <c r="A76" i="157" s="1"/>
  <c r="B33" i="160"/>
  <c r="D33" i="160" s="1"/>
  <c r="C41" i="160"/>
  <c r="B96" i="160" s="1"/>
  <c r="B9" i="165"/>
  <c r="B13" i="165"/>
  <c r="B23" i="165"/>
  <c r="B102" i="150"/>
  <c r="B12" i="162"/>
  <c r="B6" i="162"/>
  <c r="B8" i="162"/>
  <c r="B7" i="162"/>
  <c r="B24" i="162"/>
  <c r="B25" i="162"/>
  <c r="A71" i="164"/>
  <c r="A72" i="164" s="1"/>
  <c r="B12" i="165"/>
  <c r="B8" i="165"/>
  <c r="D30" i="164"/>
  <c r="C9" i="164"/>
  <c r="B15" i="164"/>
  <c r="C56" i="164" s="1"/>
  <c r="B19" i="164"/>
  <c r="B6" i="165" s="1"/>
  <c r="B9" i="164"/>
  <c r="D55" i="164" s="1"/>
  <c r="E7" i="164"/>
  <c r="E6" i="164"/>
  <c r="E5" i="164"/>
  <c r="F2" i="165"/>
  <c r="E2" i="165"/>
  <c r="D2" i="165"/>
  <c r="C2" i="165"/>
  <c r="F4" i="165"/>
  <c r="AR4" i="165" s="1"/>
  <c r="B33" i="165"/>
  <c r="D3" i="165"/>
  <c r="E3" i="165" s="1"/>
  <c r="F3" i="165" s="1"/>
  <c r="G3" i="165" s="1"/>
  <c r="H3" i="165" s="1"/>
  <c r="I3" i="165" s="1"/>
  <c r="J3" i="165" s="1"/>
  <c r="K3" i="165" s="1"/>
  <c r="L3" i="165" s="1"/>
  <c r="M3" i="165" s="1"/>
  <c r="N3" i="165" s="1"/>
  <c r="O3" i="165" s="1"/>
  <c r="P3" i="165" s="1"/>
  <c r="Q3" i="165" s="1"/>
  <c r="R3" i="165" s="1"/>
  <c r="S3" i="165" s="1"/>
  <c r="T3" i="165" s="1"/>
  <c r="U3" i="165" s="1"/>
  <c r="V3" i="165" s="1"/>
  <c r="W3" i="165" s="1"/>
  <c r="X3" i="165" s="1"/>
  <c r="Y3" i="165" s="1"/>
  <c r="Z3" i="165" s="1"/>
  <c r="AA3" i="165" s="1"/>
  <c r="AB3" i="165" s="1"/>
  <c r="AC3" i="165" s="1"/>
  <c r="AD3" i="165" s="1"/>
  <c r="AE3" i="165" s="1"/>
  <c r="AF3" i="165" s="1"/>
  <c r="AG3" i="165" s="1"/>
  <c r="AH3" i="165" s="1"/>
  <c r="AI3" i="165" s="1"/>
  <c r="AJ3" i="165" s="1"/>
  <c r="AK3" i="165" s="1"/>
  <c r="AL3" i="165" s="1"/>
  <c r="AM3" i="165" s="1"/>
  <c r="AN3" i="165" s="1"/>
  <c r="AO3" i="165" s="1"/>
  <c r="AP3" i="165" s="1"/>
  <c r="AQ3" i="165" s="1"/>
  <c r="F1" i="165"/>
  <c r="E1" i="165"/>
  <c r="D1" i="165"/>
  <c r="C1" i="165"/>
  <c r="B21" i="165"/>
  <c r="AX8" i="158"/>
  <c r="J12" i="155"/>
  <c r="P12" i="155"/>
  <c r="M12" i="155"/>
  <c r="K12" i="155"/>
  <c r="F12" i="155"/>
  <c r="E12" i="155"/>
  <c r="Q13" i="155"/>
  <c r="AV13" i="155" s="1"/>
  <c r="Z24" i="155"/>
  <c r="V21" i="155"/>
  <c r="B21" i="162"/>
  <c r="D3" i="159"/>
  <c r="E3" i="159" s="1"/>
  <c r="F3" i="159" s="1"/>
  <c r="G3" i="159" s="1"/>
  <c r="H3" i="159" s="1"/>
  <c r="I3" i="159" s="1"/>
  <c r="J3" i="159" s="1"/>
  <c r="K3" i="159" s="1"/>
  <c r="L3" i="159" s="1"/>
  <c r="M3" i="159" s="1"/>
  <c r="N3" i="159" s="1"/>
  <c r="O3" i="159" s="1"/>
  <c r="P3" i="159" s="1"/>
  <c r="Q3" i="159" s="1"/>
  <c r="R3" i="159" s="1"/>
  <c r="S3" i="159" s="1"/>
  <c r="T3" i="159" s="1"/>
  <c r="U3" i="159" s="1"/>
  <c r="V3" i="159" s="1"/>
  <c r="W3" i="159" s="1"/>
  <c r="X3" i="159" s="1"/>
  <c r="Y3" i="159" s="1"/>
  <c r="Z3" i="159" s="1"/>
  <c r="AA3" i="159" s="1"/>
  <c r="AB3" i="159" s="1"/>
  <c r="AC3" i="159" s="1"/>
  <c r="AD3" i="159" s="1"/>
  <c r="AE3" i="159" s="1"/>
  <c r="AF3" i="159" s="1"/>
  <c r="AG3" i="159" s="1"/>
  <c r="AH3" i="159" s="1"/>
  <c r="AI3" i="159" s="1"/>
  <c r="AJ3" i="159" s="1"/>
  <c r="AK3" i="159" s="1"/>
  <c r="AL3" i="159" s="1"/>
  <c r="AM3" i="159" s="1"/>
  <c r="F2" i="155"/>
  <c r="E2" i="155"/>
  <c r="D2" i="155"/>
  <c r="C2" i="155"/>
  <c r="F2" i="158"/>
  <c r="E2" i="158"/>
  <c r="D2" i="158"/>
  <c r="C2" i="158"/>
  <c r="D4" i="154"/>
  <c r="E4" i="154" s="1"/>
  <c r="F4" i="154" s="1"/>
  <c r="G4" i="154" s="1"/>
  <c r="H4" i="154" s="1"/>
  <c r="I4" i="154" s="1"/>
  <c r="J4" i="154" s="1"/>
  <c r="K4" i="154" s="1"/>
  <c r="L4" i="154" s="1"/>
  <c r="M4" i="154" s="1"/>
  <c r="N4" i="154" s="1"/>
  <c r="O4" i="154" s="1"/>
  <c r="P4" i="154" s="1"/>
  <c r="Q4" i="154" s="1"/>
  <c r="R4" i="154" s="1"/>
  <c r="S4" i="154" s="1"/>
  <c r="T4" i="154" s="1"/>
  <c r="U4" i="154" s="1"/>
  <c r="V4" i="154" s="1"/>
  <c r="W4" i="154" s="1"/>
  <c r="X4" i="154" s="1"/>
  <c r="Y4" i="154" s="1"/>
  <c r="Z4" i="154" s="1"/>
  <c r="AA4" i="154" s="1"/>
  <c r="AB4" i="154" s="1"/>
  <c r="AC4" i="154" s="1"/>
  <c r="AD4" i="154" s="1"/>
  <c r="AE4" i="154" s="1"/>
  <c r="AF4" i="154" s="1"/>
  <c r="AG4" i="154" s="1"/>
  <c r="AH4" i="154" s="1"/>
  <c r="AI4" i="154" s="1"/>
  <c r="AJ4" i="154" s="1"/>
  <c r="AK4" i="154" s="1"/>
  <c r="AL4" i="154" s="1"/>
  <c r="AM4" i="154" s="1"/>
  <c r="AN4" i="154" s="1"/>
  <c r="AO4" i="154" s="1"/>
  <c r="AP4" i="154" s="1"/>
  <c r="AQ4" i="154" s="1"/>
  <c r="AR4" i="154" s="1"/>
  <c r="AS4" i="154" s="1"/>
  <c r="AT4" i="154" s="1"/>
  <c r="AU4" i="154" s="1"/>
  <c r="D3" i="155"/>
  <c r="E3" i="155" s="1"/>
  <c r="F3" i="155" s="1"/>
  <c r="G3" i="155" s="1"/>
  <c r="H3" i="155" s="1"/>
  <c r="I3" i="155" s="1"/>
  <c r="J3" i="155" s="1"/>
  <c r="K3" i="155" s="1"/>
  <c r="L3" i="155" s="1"/>
  <c r="M3" i="155" s="1"/>
  <c r="N3" i="155" s="1"/>
  <c r="O3" i="155" s="1"/>
  <c r="P3" i="155" s="1"/>
  <c r="Q3" i="155" s="1"/>
  <c r="R3" i="155" s="1"/>
  <c r="S3" i="155" s="1"/>
  <c r="T3" i="155" s="1"/>
  <c r="U3" i="155" s="1"/>
  <c r="V3" i="155" s="1"/>
  <c r="W3" i="155" s="1"/>
  <c r="X3" i="155" s="1"/>
  <c r="Y3" i="155" s="1"/>
  <c r="Z3" i="155" s="1"/>
  <c r="AA3" i="155" s="1"/>
  <c r="AB3" i="155" s="1"/>
  <c r="AC3" i="155" s="1"/>
  <c r="AD3" i="155" s="1"/>
  <c r="AE3" i="155" s="1"/>
  <c r="AF3" i="155" s="1"/>
  <c r="AG3" i="155" s="1"/>
  <c r="AH3" i="155" s="1"/>
  <c r="AI3" i="155" s="1"/>
  <c r="AJ3" i="155" s="1"/>
  <c r="AK3" i="155" s="1"/>
  <c r="AL3" i="155" s="1"/>
  <c r="AM3" i="155" s="1"/>
  <c r="AN3" i="155" s="1"/>
  <c r="AO3" i="155" s="1"/>
  <c r="AP3" i="155" s="1"/>
  <c r="AQ3" i="155" s="1"/>
  <c r="AR3" i="155" s="1"/>
  <c r="AS3" i="155" s="1"/>
  <c r="AT3" i="155" s="1"/>
  <c r="AU3" i="155" s="1"/>
  <c r="F1" i="155"/>
  <c r="E1" i="155"/>
  <c r="D1" i="155"/>
  <c r="C1" i="155"/>
  <c r="D3" i="158"/>
  <c r="E3" i="158" s="1"/>
  <c r="F3" i="158" s="1"/>
  <c r="G3" i="158" s="1"/>
  <c r="H3" i="158" s="1"/>
  <c r="I3" i="158" s="1"/>
  <c r="J3" i="158" s="1"/>
  <c r="K3" i="158" s="1"/>
  <c r="L3" i="158" s="1"/>
  <c r="M3" i="158" s="1"/>
  <c r="N3" i="158" s="1"/>
  <c r="O3" i="158" s="1"/>
  <c r="P3" i="158" s="1"/>
  <c r="Q3" i="158" s="1"/>
  <c r="R3" i="158" s="1"/>
  <c r="S3" i="158" s="1"/>
  <c r="T3" i="158" s="1"/>
  <c r="U3" i="158" s="1"/>
  <c r="V3" i="158" s="1"/>
  <c r="W3" i="158" s="1"/>
  <c r="X3" i="158" s="1"/>
  <c r="Y3" i="158" s="1"/>
  <c r="Z3" i="158" s="1"/>
  <c r="AA3" i="158" s="1"/>
  <c r="AB3" i="158" s="1"/>
  <c r="AC3" i="158" s="1"/>
  <c r="AD3" i="158" s="1"/>
  <c r="AE3" i="158" s="1"/>
  <c r="AF3" i="158" s="1"/>
  <c r="AG3" i="158" s="1"/>
  <c r="AH3" i="158" s="1"/>
  <c r="AI3" i="158" s="1"/>
  <c r="AJ3" i="158" s="1"/>
  <c r="AK3" i="158" s="1"/>
  <c r="AL3" i="158" s="1"/>
  <c r="AM3" i="158" s="1"/>
  <c r="AN3" i="158" s="1"/>
  <c r="AO3" i="158" s="1"/>
  <c r="AP3" i="158" s="1"/>
  <c r="AQ3" i="158" s="1"/>
  <c r="AR3" i="158" s="1"/>
  <c r="AS3" i="158" s="1"/>
  <c r="AT3" i="158" s="1"/>
  <c r="AU3" i="158" s="1"/>
  <c r="F1" i="158"/>
  <c r="E1" i="158"/>
  <c r="D1" i="158"/>
  <c r="C1" i="158"/>
  <c r="D4" i="156"/>
  <c r="E4" i="156" s="1"/>
  <c r="F4" i="156" s="1"/>
  <c r="G4" i="156" s="1"/>
  <c r="H4" i="156" s="1"/>
  <c r="I4" i="156" s="1"/>
  <c r="J4" i="156" s="1"/>
  <c r="K4" i="156" s="1"/>
  <c r="L4" i="156" s="1"/>
  <c r="F1" i="156"/>
  <c r="E1" i="156"/>
  <c r="D1" i="156"/>
  <c r="C1" i="156"/>
  <c r="D4" i="162"/>
  <c r="E4" i="162" s="1"/>
  <c r="F4" i="162" s="1"/>
  <c r="G4" i="162" s="1"/>
  <c r="H4" i="162" s="1"/>
  <c r="I4" i="162" s="1"/>
  <c r="J4" i="162" s="1"/>
  <c r="K4" i="162" s="1"/>
  <c r="L4" i="162" s="1"/>
  <c r="M4" i="162" s="1"/>
  <c r="N4" i="162" s="1"/>
  <c r="O4" i="162" s="1"/>
  <c r="F2" i="162"/>
  <c r="E2" i="162"/>
  <c r="D2" i="162"/>
  <c r="C2" i="162"/>
  <c r="F1" i="162"/>
  <c r="E1" i="162"/>
  <c r="D1" i="162"/>
  <c r="C1" i="162"/>
  <c r="F1" i="154"/>
  <c r="E1" i="154"/>
  <c r="D1" i="154"/>
  <c r="C1" i="154"/>
  <c r="B8" i="155"/>
  <c r="AW8" i="155" s="1"/>
  <c r="AX8" i="155" s="1"/>
  <c r="A8" i="155"/>
  <c r="B8" i="158"/>
  <c r="A8" i="158"/>
  <c r="B9" i="156"/>
  <c r="A9" i="156"/>
  <c r="B9" i="162"/>
  <c r="A9" i="162"/>
  <c r="A9" i="154"/>
  <c r="B26" i="162"/>
  <c r="A26" i="162"/>
  <c r="A25" i="162"/>
  <c r="A24" i="162"/>
  <c r="B23" i="162"/>
  <c r="C23" i="162" s="1"/>
  <c r="A23" i="162"/>
  <c r="B22" i="162"/>
  <c r="A22" i="162"/>
  <c r="A21" i="162"/>
  <c r="B20" i="162"/>
  <c r="A20" i="162"/>
  <c r="A19" i="162"/>
  <c r="B18" i="162"/>
  <c r="A18" i="162"/>
  <c r="A17" i="162"/>
  <c r="A16" i="162"/>
  <c r="A15" i="162"/>
  <c r="B14" i="162"/>
  <c r="A14" i="162"/>
  <c r="B13" i="162"/>
  <c r="A13" i="162"/>
  <c r="A12" i="162"/>
  <c r="A11" i="162"/>
  <c r="B10" i="162"/>
  <c r="A10" i="162"/>
  <c r="A8" i="162"/>
  <c r="A7" i="162"/>
  <c r="A6" i="162"/>
  <c r="F5" i="162"/>
  <c r="G5" i="162" s="1"/>
  <c r="B27" i="155"/>
  <c r="C57" i="160"/>
  <c r="B25" i="155"/>
  <c r="W25" i="155" s="1"/>
  <c r="A25" i="155"/>
  <c r="B24" i="155"/>
  <c r="AB24" i="155" s="1"/>
  <c r="A24" i="155"/>
  <c r="B23" i="155"/>
  <c r="A23" i="155"/>
  <c r="A22" i="155"/>
  <c r="A21" i="155"/>
  <c r="A20" i="155"/>
  <c r="B19" i="155"/>
  <c r="X19" i="155" s="1"/>
  <c r="A19" i="155"/>
  <c r="A18" i="155"/>
  <c r="B17" i="155"/>
  <c r="AW17" i="155" s="1"/>
  <c r="A17" i="155"/>
  <c r="A16" i="155"/>
  <c r="A15" i="155"/>
  <c r="A14" i="155"/>
  <c r="B13" i="155"/>
  <c r="A13" i="155"/>
  <c r="B12" i="155"/>
  <c r="L12" i="155" s="1"/>
  <c r="A12" i="155"/>
  <c r="A11" i="155"/>
  <c r="A10" i="155"/>
  <c r="B9" i="155"/>
  <c r="Q9" i="155" s="1"/>
  <c r="AV9" i="155" s="1"/>
  <c r="A9" i="155"/>
  <c r="A7" i="155"/>
  <c r="A6" i="155"/>
  <c r="A5" i="155"/>
  <c r="A24" i="160"/>
  <c r="B24" i="160" s="1"/>
  <c r="B22" i="160"/>
  <c r="A30" i="160"/>
  <c r="B20" i="160"/>
  <c r="F15" i="160"/>
  <c r="B16" i="160"/>
  <c r="B10" i="160"/>
  <c r="B18" i="155"/>
  <c r="AW18" i="155" s="1"/>
  <c r="E4" i="160"/>
  <c r="E10" i="160"/>
  <c r="B15" i="157"/>
  <c r="B22" i="157"/>
  <c r="A30" i="157"/>
  <c r="F17" i="155"/>
  <c r="D11" i="160"/>
  <c r="D29" i="160"/>
  <c r="B23" i="160"/>
  <c r="B25" i="160"/>
  <c r="C60" i="160"/>
  <c r="B21" i="155"/>
  <c r="X21" i="155" s="1"/>
  <c r="C11" i="160"/>
  <c r="A25" i="158"/>
  <c r="A24" i="158"/>
  <c r="AW23" i="158"/>
  <c r="A23" i="158"/>
  <c r="A22" i="158"/>
  <c r="A21" i="158"/>
  <c r="A20" i="158"/>
  <c r="AW19" i="158"/>
  <c r="A19" i="158"/>
  <c r="A18" i="158"/>
  <c r="A17" i="158"/>
  <c r="A16" i="158"/>
  <c r="A15" i="158"/>
  <c r="A14" i="158"/>
  <c r="AW13" i="158"/>
  <c r="A13" i="158"/>
  <c r="B12" i="158"/>
  <c r="AW12" i="158" s="1"/>
  <c r="AX12" i="158" s="1"/>
  <c r="A12" i="158"/>
  <c r="A11" i="158"/>
  <c r="A10" i="158"/>
  <c r="A9" i="158"/>
  <c r="A7" i="158"/>
  <c r="A6" i="158"/>
  <c r="A5" i="158"/>
  <c r="A26" i="158"/>
  <c r="AV12" i="158"/>
  <c r="A24" i="157"/>
  <c r="B24" i="157" s="1"/>
  <c r="B25" i="157" s="1"/>
  <c r="B26" i="157" s="1"/>
  <c r="B20" i="157"/>
  <c r="B16" i="157"/>
  <c r="C10" i="157"/>
  <c r="B10" i="157"/>
  <c r="C11" i="157"/>
  <c r="E4" i="157"/>
  <c r="E10" i="157"/>
  <c r="F2" i="154"/>
  <c r="E2" i="154"/>
  <c r="D2" i="154"/>
  <c r="C2" i="154"/>
  <c r="A26" i="156"/>
  <c r="B25" i="156"/>
  <c r="A25" i="156"/>
  <c r="B24" i="156"/>
  <c r="A24" i="156"/>
  <c r="A23" i="156"/>
  <c r="A22" i="156"/>
  <c r="A21" i="156"/>
  <c r="B20" i="156"/>
  <c r="A20" i="156"/>
  <c r="A19" i="156"/>
  <c r="B18" i="156"/>
  <c r="A18" i="156"/>
  <c r="A17" i="156"/>
  <c r="A16" i="156"/>
  <c r="A15" i="156"/>
  <c r="B14" i="156"/>
  <c r="A14" i="156"/>
  <c r="B13" i="156"/>
  <c r="A13" i="156"/>
  <c r="A12" i="156"/>
  <c r="A11" i="156"/>
  <c r="B10" i="156"/>
  <c r="A10" i="156"/>
  <c r="A8" i="156"/>
  <c r="A7" i="156"/>
  <c r="A6" i="156"/>
  <c r="AW23" i="155"/>
  <c r="AX23" i="155" s="1"/>
  <c r="AW13" i="155"/>
  <c r="AW12" i="155"/>
  <c r="A26" i="155"/>
  <c r="P23" i="155"/>
  <c r="F4" i="155"/>
  <c r="A26" i="154"/>
  <c r="A25" i="154"/>
  <c r="A24" i="154"/>
  <c r="A23" i="154"/>
  <c r="A22" i="154"/>
  <c r="A21" i="154"/>
  <c r="A20" i="154"/>
  <c r="A19" i="154"/>
  <c r="A18" i="154"/>
  <c r="A17" i="154"/>
  <c r="A16" i="154"/>
  <c r="A15" i="154"/>
  <c r="A14" i="154"/>
  <c r="B13" i="154"/>
  <c r="A13" i="154"/>
  <c r="A12" i="154"/>
  <c r="A11" i="154"/>
  <c r="A10" i="154"/>
  <c r="A8" i="154"/>
  <c r="A7" i="154"/>
  <c r="A6" i="154"/>
  <c r="B23" i="157"/>
  <c r="C57" i="157"/>
  <c r="B34" i="162"/>
  <c r="D58" i="160"/>
  <c r="C49" i="160"/>
  <c r="D62" i="160"/>
  <c r="D48" i="160"/>
  <c r="D56" i="160"/>
  <c r="D63" i="160"/>
  <c r="D52" i="160"/>
  <c r="B26" i="160"/>
  <c r="D51" i="160"/>
  <c r="D64" i="160"/>
  <c r="D57" i="160"/>
  <c r="D60" i="160"/>
  <c r="C29" i="160"/>
  <c r="B29" i="160"/>
  <c r="AV23" i="158"/>
  <c r="AX23" i="158" s="1"/>
  <c r="D29" i="157"/>
  <c r="D11" i="157"/>
  <c r="D57" i="157"/>
  <c r="AW9" i="158"/>
  <c r="AW25" i="158"/>
  <c r="C60" i="157"/>
  <c r="D60" i="157"/>
  <c r="C23" i="155"/>
  <c r="AW25" i="155"/>
  <c r="G4" i="155"/>
  <c r="D23" i="155"/>
  <c r="AV11" i="155"/>
  <c r="AW24" i="155"/>
  <c r="D49" i="160"/>
  <c r="B10" i="155"/>
  <c r="D58" i="157"/>
  <c r="D52" i="157"/>
  <c r="D62" i="157"/>
  <c r="D51" i="157"/>
  <c r="C49" i="157"/>
  <c r="D49" i="157"/>
  <c r="D48" i="157"/>
  <c r="D64" i="157"/>
  <c r="D63" i="157"/>
  <c r="C29" i="157"/>
  <c r="B29" i="157"/>
  <c r="AV23" i="155"/>
  <c r="AV4" i="155"/>
  <c r="AW21" i="158"/>
  <c r="AW18" i="158"/>
  <c r="AW10" i="158"/>
  <c r="AV10" i="158"/>
  <c r="AX10" i="158"/>
  <c r="AV17" i="158"/>
  <c r="B33" i="158"/>
  <c r="C66" i="150"/>
  <c r="D66" i="150" s="1"/>
  <c r="H5" i="140"/>
  <c r="B19" i="162"/>
  <c r="B11" i="162"/>
  <c r="L73" i="142"/>
  <c r="L74" i="142" s="1"/>
  <c r="K73" i="142"/>
  <c r="K74" i="142" s="1"/>
  <c r="J73" i="142"/>
  <c r="J74" i="142" s="1"/>
  <c r="I73" i="142"/>
  <c r="I74" i="142" s="1"/>
  <c r="L63" i="142"/>
  <c r="L64" i="142" s="1"/>
  <c r="K63" i="142"/>
  <c r="K64" i="142" s="1"/>
  <c r="J63" i="142"/>
  <c r="J64" i="142" s="1"/>
  <c r="I63" i="142"/>
  <c r="I64" i="142" s="1"/>
  <c r="L53" i="142"/>
  <c r="L54" i="142" s="1"/>
  <c r="K53" i="142"/>
  <c r="K54" i="142" s="1"/>
  <c r="J53" i="142"/>
  <c r="J54" i="142" s="1"/>
  <c r="I53" i="142"/>
  <c r="I54" i="142" s="1"/>
  <c r="L77" i="142"/>
  <c r="K77" i="142"/>
  <c r="J77" i="142"/>
  <c r="I77" i="142"/>
  <c r="L75" i="142"/>
  <c r="K75" i="142"/>
  <c r="J75" i="142"/>
  <c r="I75" i="142"/>
  <c r="L67" i="142"/>
  <c r="K67" i="142"/>
  <c r="J67" i="142"/>
  <c r="I67" i="142"/>
  <c r="L65" i="142"/>
  <c r="K65" i="142"/>
  <c r="J65" i="142"/>
  <c r="I65" i="142"/>
  <c r="L57" i="142"/>
  <c r="K57" i="142"/>
  <c r="J57" i="142"/>
  <c r="I57" i="142"/>
  <c r="L55" i="142"/>
  <c r="K55" i="142"/>
  <c r="J55" i="142"/>
  <c r="I55" i="142"/>
  <c r="G59" i="142"/>
  <c r="G60" i="142" s="1"/>
  <c r="G62" i="142" s="1"/>
  <c r="G63" i="142" s="1"/>
  <c r="E59" i="142"/>
  <c r="E60" i="142" s="1"/>
  <c r="E62" i="142" s="1"/>
  <c r="E63" i="142" s="1"/>
  <c r="D59" i="142"/>
  <c r="D60" i="142" s="1"/>
  <c r="D62" i="142" s="1"/>
  <c r="D63" i="142" s="1"/>
  <c r="C59" i="142"/>
  <c r="C60" i="142" s="1"/>
  <c r="C62" i="142" s="1"/>
  <c r="C63" i="142" s="1"/>
  <c r="G53" i="142"/>
  <c r="G54" i="142" s="1"/>
  <c r="G56" i="142" s="1"/>
  <c r="G57" i="142" s="1"/>
  <c r="E53" i="142"/>
  <c r="E54" i="142" s="1"/>
  <c r="E56" i="142" s="1"/>
  <c r="E57" i="142" s="1"/>
  <c r="D53" i="142"/>
  <c r="D54" i="142" s="1"/>
  <c r="D56" i="142" s="1"/>
  <c r="D57" i="142" s="1"/>
  <c r="C53" i="142"/>
  <c r="C54" i="142" s="1"/>
  <c r="C56" i="142" s="1"/>
  <c r="C57" i="142" s="1"/>
  <c r="G65" i="142"/>
  <c r="G66" i="142" s="1"/>
  <c r="G68" i="142" s="1"/>
  <c r="G69" i="142" s="1"/>
  <c r="E65" i="142"/>
  <c r="E66" i="142" s="1"/>
  <c r="E68" i="142" s="1"/>
  <c r="E69" i="142" s="1"/>
  <c r="D65" i="142"/>
  <c r="D66" i="142" s="1"/>
  <c r="D68" i="142" s="1"/>
  <c r="D69" i="142" s="1"/>
  <c r="C65" i="142"/>
  <c r="C66" i="142" s="1"/>
  <c r="C68" i="142" s="1"/>
  <c r="C69" i="142" s="1"/>
  <c r="AW10" i="155"/>
  <c r="Q10" i="155"/>
  <c r="AV10" i="155" s="1"/>
  <c r="AX10" i="155" s="1"/>
  <c r="B34" i="154"/>
  <c r="B33" i="155"/>
  <c r="B34" i="156"/>
  <c r="C12" i="156" l="1"/>
  <c r="K12" i="156"/>
  <c r="D12" i="156"/>
  <c r="L12" i="156"/>
  <c r="E12" i="156"/>
  <c r="F12" i="156"/>
  <c r="G12" i="156"/>
  <c r="H12" i="156"/>
  <c r="I12" i="156"/>
  <c r="J12" i="156"/>
  <c r="P11" i="162"/>
  <c r="H11" i="162"/>
  <c r="O11" i="162"/>
  <c r="G11" i="162"/>
  <c r="N11" i="162"/>
  <c r="F11" i="162"/>
  <c r="J11" i="162"/>
  <c r="M11" i="162"/>
  <c r="E11" i="162"/>
  <c r="L11" i="162"/>
  <c r="D11" i="162"/>
  <c r="S11" i="162"/>
  <c r="K11" i="162"/>
  <c r="C11" i="162"/>
  <c r="Q11" i="162"/>
  <c r="I11" i="162"/>
  <c r="R11" i="162"/>
  <c r="Q19" i="162"/>
  <c r="I19" i="162"/>
  <c r="P19" i="162"/>
  <c r="H19" i="162"/>
  <c r="S19" i="162"/>
  <c r="O19" i="162"/>
  <c r="G19" i="162"/>
  <c r="K19" i="162"/>
  <c r="N19" i="162"/>
  <c r="F19" i="162"/>
  <c r="C19" i="162"/>
  <c r="M19" i="162"/>
  <c r="E19" i="162"/>
  <c r="L19" i="162"/>
  <c r="D19" i="162"/>
  <c r="R19" i="162"/>
  <c r="J19" i="162"/>
  <c r="R7" i="162"/>
  <c r="J7" i="162"/>
  <c r="Q7" i="162"/>
  <c r="I7" i="162"/>
  <c r="L7" i="162"/>
  <c r="P7" i="162"/>
  <c r="H7" i="162"/>
  <c r="O7" i="162"/>
  <c r="G7" i="162"/>
  <c r="D7" i="162"/>
  <c r="N7" i="162"/>
  <c r="F7" i="162"/>
  <c r="M7" i="162"/>
  <c r="E7" i="162"/>
  <c r="S7" i="162"/>
  <c r="K7" i="162"/>
  <c r="C7" i="162"/>
  <c r="Q8" i="162"/>
  <c r="I8" i="162"/>
  <c r="C8" i="162"/>
  <c r="P8" i="162"/>
  <c r="H8" i="162"/>
  <c r="O8" i="162"/>
  <c r="G8" i="162"/>
  <c r="N8" i="162"/>
  <c r="F8" i="162"/>
  <c r="M8" i="162"/>
  <c r="E8" i="162"/>
  <c r="S8" i="162"/>
  <c r="L8" i="162"/>
  <c r="D8" i="162"/>
  <c r="K8" i="162"/>
  <c r="R8" i="162"/>
  <c r="J8" i="162"/>
  <c r="P20" i="162"/>
  <c r="H20" i="162"/>
  <c r="O20" i="162"/>
  <c r="G20" i="162"/>
  <c r="N20" i="162"/>
  <c r="F20" i="162"/>
  <c r="M20" i="162"/>
  <c r="E20" i="162"/>
  <c r="L20" i="162"/>
  <c r="D20" i="162"/>
  <c r="R20" i="162"/>
  <c r="S20" i="162"/>
  <c r="K20" i="162"/>
  <c r="C20" i="162"/>
  <c r="J20" i="162"/>
  <c r="Q20" i="162"/>
  <c r="I20" i="162"/>
  <c r="D6" i="162"/>
  <c r="L6" i="162"/>
  <c r="C6" i="162"/>
  <c r="E6" i="162"/>
  <c r="M6" i="162"/>
  <c r="F6" i="162"/>
  <c r="N6" i="162"/>
  <c r="R6" i="162"/>
  <c r="G6" i="162"/>
  <c r="O6" i="162"/>
  <c r="H6" i="162"/>
  <c r="P6" i="162"/>
  <c r="J6" i="162"/>
  <c r="I6" i="162"/>
  <c r="Q6" i="162"/>
  <c r="K6" i="162"/>
  <c r="S6" i="162"/>
  <c r="L26" i="162"/>
  <c r="D26" i="162"/>
  <c r="N26" i="162"/>
  <c r="S26" i="162"/>
  <c r="K26" i="162"/>
  <c r="C26" i="162"/>
  <c r="R26" i="162"/>
  <c r="J26" i="162"/>
  <c r="Q26" i="162"/>
  <c r="I26" i="162"/>
  <c r="P26" i="162"/>
  <c r="H26" i="162"/>
  <c r="O26" i="162"/>
  <c r="G26" i="162"/>
  <c r="M26" i="162"/>
  <c r="E26" i="162"/>
  <c r="F26" i="162"/>
  <c r="L10" i="156"/>
  <c r="C10" i="156"/>
  <c r="K14" i="156"/>
  <c r="D14" i="156"/>
  <c r="C14" i="156"/>
  <c r="E14" i="156"/>
  <c r="M14" i="156" s="1"/>
  <c r="F14" i="156"/>
  <c r="G14" i="156"/>
  <c r="H14" i="156"/>
  <c r="I14" i="156"/>
  <c r="J14" i="156"/>
  <c r="L14" i="156"/>
  <c r="C18" i="156"/>
  <c r="K18" i="156"/>
  <c r="E18" i="156"/>
  <c r="M18" i="156" s="1"/>
  <c r="G18" i="156"/>
  <c r="H18" i="156"/>
  <c r="L18" i="156"/>
  <c r="I18" i="156"/>
  <c r="D18" i="156"/>
  <c r="J18" i="156"/>
  <c r="F18" i="156"/>
  <c r="U23" i="162"/>
  <c r="U14" i="162"/>
  <c r="U10" i="162"/>
  <c r="C10" i="162"/>
  <c r="U21" i="162"/>
  <c r="U22" i="162"/>
  <c r="C9" i="162"/>
  <c r="B71" i="149"/>
  <c r="B72" i="149" s="1"/>
  <c r="B73" i="149" s="1"/>
  <c r="J5" i="140"/>
  <c r="U12" i="162"/>
  <c r="R12" i="162"/>
  <c r="H12" i="162"/>
  <c r="S12" i="162"/>
  <c r="F12" i="162"/>
  <c r="C12" i="162"/>
  <c r="Q12" i="162"/>
  <c r="G12" i="162"/>
  <c r="C73" i="169"/>
  <c r="B15" i="169"/>
  <c r="C81" i="169"/>
  <c r="B19" i="169"/>
  <c r="C40" i="169"/>
  <c r="C25" i="169"/>
  <c r="U20" i="162"/>
  <c r="U11" i="162"/>
  <c r="AN3" i="159"/>
  <c r="AO3" i="159" s="1"/>
  <c r="AP3" i="159" s="1"/>
  <c r="AQ3" i="159" s="1"/>
  <c r="AR3" i="159" s="1"/>
  <c r="AS3" i="159" s="1"/>
  <c r="AT3" i="159" s="1"/>
  <c r="AU3" i="159" s="1"/>
  <c r="P4" i="162"/>
  <c r="Q4" i="162" s="1"/>
  <c r="R4" i="162" s="1"/>
  <c r="S4" i="162" s="1"/>
  <c r="N12" i="156"/>
  <c r="N10" i="156"/>
  <c r="M10" i="156"/>
  <c r="N9" i="156"/>
  <c r="M9" i="156"/>
  <c r="N18" i="156"/>
  <c r="N24" i="156"/>
  <c r="N14" i="156"/>
  <c r="C60" i="150"/>
  <c r="C58" i="150"/>
  <c r="I20" i="154"/>
  <c r="D20" i="154"/>
  <c r="M20" i="154"/>
  <c r="J20" i="154"/>
  <c r="L20" i="154"/>
  <c r="F20" i="154"/>
  <c r="K20" i="154"/>
  <c r="N20" i="154"/>
  <c r="C20" i="154"/>
  <c r="G20" i="154"/>
  <c r="O20" i="154"/>
  <c r="H20" i="154"/>
  <c r="P20" i="154"/>
  <c r="E20" i="154"/>
  <c r="AW14" i="154"/>
  <c r="C14" i="154"/>
  <c r="AV14" i="154" s="1"/>
  <c r="E25" i="154"/>
  <c r="M25" i="154"/>
  <c r="I25" i="154"/>
  <c r="F25" i="154"/>
  <c r="N25" i="154"/>
  <c r="H25" i="154"/>
  <c r="P25" i="154"/>
  <c r="G25" i="154"/>
  <c r="O25" i="154"/>
  <c r="C25" i="154"/>
  <c r="K25" i="154"/>
  <c r="D25" i="154"/>
  <c r="L25" i="154"/>
  <c r="J25" i="154"/>
  <c r="AW20" i="154"/>
  <c r="AW13" i="154"/>
  <c r="D13" i="154"/>
  <c r="L13" i="154"/>
  <c r="E13" i="154"/>
  <c r="M13" i="154"/>
  <c r="H13" i="154"/>
  <c r="P13" i="154"/>
  <c r="I13" i="154"/>
  <c r="F13" i="154"/>
  <c r="N13" i="154"/>
  <c r="G13" i="154"/>
  <c r="O13" i="154"/>
  <c r="J13" i="154"/>
  <c r="C13" i="154"/>
  <c r="K13" i="154"/>
  <c r="F18" i="154"/>
  <c r="N18" i="154"/>
  <c r="G18" i="154"/>
  <c r="O18" i="154"/>
  <c r="J18" i="154"/>
  <c r="H18" i="154"/>
  <c r="P18" i="154"/>
  <c r="C18" i="154"/>
  <c r="I18" i="154"/>
  <c r="D18" i="154"/>
  <c r="L18" i="154"/>
  <c r="E18" i="154"/>
  <c r="M18" i="154"/>
  <c r="K18" i="154"/>
  <c r="C9" i="154"/>
  <c r="AV9" i="154" s="1"/>
  <c r="AW25" i="154"/>
  <c r="B22" i="164"/>
  <c r="H6" i="140"/>
  <c r="H12" i="140" s="1"/>
  <c r="C8" i="164"/>
  <c r="AS12" i="165"/>
  <c r="I12" i="165"/>
  <c r="Q12" i="165"/>
  <c r="J12" i="165"/>
  <c r="R12" i="165"/>
  <c r="C12" i="165"/>
  <c r="K12" i="165"/>
  <c r="S12" i="165"/>
  <c r="D12" i="165"/>
  <c r="L12" i="165"/>
  <c r="T12" i="165"/>
  <c r="E12" i="165"/>
  <c r="M12" i="165"/>
  <c r="U12" i="165"/>
  <c r="F12" i="165"/>
  <c r="N12" i="165"/>
  <c r="G12" i="165"/>
  <c r="O12" i="165"/>
  <c r="P12" i="165"/>
  <c r="H12" i="165"/>
  <c r="C6" i="165"/>
  <c r="K6" i="165"/>
  <c r="S6" i="165"/>
  <c r="D6" i="165"/>
  <c r="L6" i="165"/>
  <c r="T6" i="165"/>
  <c r="M6" i="165"/>
  <c r="U6" i="165"/>
  <c r="E6" i="165"/>
  <c r="F6" i="165"/>
  <c r="N6" i="165"/>
  <c r="G6" i="165"/>
  <c r="O6" i="165"/>
  <c r="H6" i="165"/>
  <c r="P6" i="165"/>
  <c r="I6" i="165"/>
  <c r="Q6" i="165"/>
  <c r="R6" i="165"/>
  <c r="J6" i="165"/>
  <c r="C24" i="165"/>
  <c r="K24" i="165"/>
  <c r="S24" i="165"/>
  <c r="D24" i="165"/>
  <c r="L24" i="165"/>
  <c r="T24" i="165"/>
  <c r="E24" i="165"/>
  <c r="M24" i="165"/>
  <c r="U24" i="165"/>
  <c r="F24" i="165"/>
  <c r="N24" i="165"/>
  <c r="G24" i="165"/>
  <c r="O24" i="165"/>
  <c r="H24" i="165"/>
  <c r="P24" i="165"/>
  <c r="I24" i="165"/>
  <c r="J24" i="165"/>
  <c r="Q24" i="165"/>
  <c r="R24" i="165"/>
  <c r="C21" i="165"/>
  <c r="K21" i="165"/>
  <c r="S21" i="165"/>
  <c r="D21" i="165"/>
  <c r="L21" i="165"/>
  <c r="T21" i="165"/>
  <c r="E21" i="165"/>
  <c r="M21" i="165"/>
  <c r="U21" i="165"/>
  <c r="I21" i="165"/>
  <c r="F21" i="165"/>
  <c r="N21" i="165"/>
  <c r="G21" i="165"/>
  <c r="O21" i="165"/>
  <c r="H21" i="165"/>
  <c r="P21" i="165"/>
  <c r="R21" i="165"/>
  <c r="Q21" i="165"/>
  <c r="J21" i="165"/>
  <c r="AS23" i="165"/>
  <c r="C23" i="165"/>
  <c r="AR23" i="165" s="1"/>
  <c r="AS8" i="165"/>
  <c r="G8" i="165"/>
  <c r="O8" i="165"/>
  <c r="H8" i="165"/>
  <c r="P8" i="165"/>
  <c r="I8" i="165"/>
  <c r="Q8" i="165"/>
  <c r="J8" i="165"/>
  <c r="R8" i="165"/>
  <c r="C8" i="165"/>
  <c r="K8" i="165"/>
  <c r="S8" i="165"/>
  <c r="D8" i="165"/>
  <c r="L8" i="165"/>
  <c r="T8" i="165"/>
  <c r="E8" i="165"/>
  <c r="M8" i="165"/>
  <c r="U8" i="165"/>
  <c r="F8" i="165"/>
  <c r="N8" i="165"/>
  <c r="AS17" i="165"/>
  <c r="G17" i="165"/>
  <c r="O17" i="165"/>
  <c r="H17" i="165"/>
  <c r="P17" i="165"/>
  <c r="I17" i="165"/>
  <c r="J17" i="165"/>
  <c r="R17" i="165"/>
  <c r="N17" i="165"/>
  <c r="C17" i="165"/>
  <c r="K17" i="165"/>
  <c r="S17" i="165"/>
  <c r="F17" i="165"/>
  <c r="D17" i="165"/>
  <c r="L17" i="165"/>
  <c r="T17" i="165"/>
  <c r="Q17" i="165"/>
  <c r="E17" i="165"/>
  <c r="M17" i="165"/>
  <c r="U17" i="165"/>
  <c r="C9" i="165"/>
  <c r="C13" i="165"/>
  <c r="D43" i="149"/>
  <c r="B14" i="105"/>
  <c r="D7" i="105"/>
  <c r="J7" i="105"/>
  <c r="K7" i="105"/>
  <c r="R7" i="105"/>
  <c r="C7" i="105"/>
  <c r="S7" i="105"/>
  <c r="P7" i="105"/>
  <c r="F7" i="105"/>
  <c r="H7" i="105"/>
  <c r="AV7" i="105"/>
  <c r="U7" i="105"/>
  <c r="Q7" i="105"/>
  <c r="O7" i="105"/>
  <c r="M7" i="105"/>
  <c r="I7" i="105"/>
  <c r="G7" i="105"/>
  <c r="E7" i="105"/>
  <c r="T7" i="105"/>
  <c r="N7" i="105"/>
  <c r="V7" i="105"/>
  <c r="L7" i="105"/>
  <c r="AW10" i="105"/>
  <c r="AU18" i="105"/>
  <c r="AW18" i="105" s="1"/>
  <c r="B58" i="149"/>
  <c r="N25" i="156"/>
  <c r="B22" i="156"/>
  <c r="B15" i="162"/>
  <c r="B17" i="162"/>
  <c r="U25" i="162"/>
  <c r="U26" i="162"/>
  <c r="U19" i="162"/>
  <c r="U24" i="162"/>
  <c r="U18" i="162"/>
  <c r="X23" i="172"/>
  <c r="Y23" i="172" s="1"/>
  <c r="B22" i="154"/>
  <c r="X12" i="172"/>
  <c r="AW18" i="154"/>
  <c r="C6" i="155"/>
  <c r="K58" i="142"/>
  <c r="K59" i="142" s="1"/>
  <c r="K60" i="142" s="1"/>
  <c r="D45" i="160"/>
  <c r="AW10" i="154"/>
  <c r="AV10" i="154"/>
  <c r="U7" i="162"/>
  <c r="U8" i="162"/>
  <c r="L78" i="142"/>
  <c r="L79" i="142" s="1"/>
  <c r="L80" i="142" s="1"/>
  <c r="D16" i="157"/>
  <c r="C16" i="157" s="1"/>
  <c r="I78" i="142"/>
  <c r="I79" i="142" s="1"/>
  <c r="I80" i="142" s="1"/>
  <c r="I68" i="142"/>
  <c r="I69" i="142" s="1"/>
  <c r="K78" i="142"/>
  <c r="K79" i="142" s="1"/>
  <c r="K80" i="142" s="1"/>
  <c r="J78" i="142"/>
  <c r="J79" i="142" s="1"/>
  <c r="J80" i="142" s="1"/>
  <c r="I58" i="142"/>
  <c r="I59" i="142" s="1"/>
  <c r="I60" i="142" s="1"/>
  <c r="J68" i="142"/>
  <c r="J69" i="142" s="1"/>
  <c r="J70" i="142" s="1"/>
  <c r="J58" i="142"/>
  <c r="J59" i="142" s="1"/>
  <c r="J60" i="142" s="1"/>
  <c r="D46" i="160"/>
  <c r="B7" i="155"/>
  <c r="K7" i="155" s="1"/>
  <c r="C53" i="160"/>
  <c r="C54" i="160" s="1"/>
  <c r="D44" i="160"/>
  <c r="B5" i="155"/>
  <c r="G5" i="155" s="1"/>
  <c r="D16" i="160"/>
  <c r="L58" i="142"/>
  <c r="L59" i="142" s="1"/>
  <c r="D46" i="157"/>
  <c r="B7" i="158"/>
  <c r="AC7" i="158" s="1"/>
  <c r="L6" i="155"/>
  <c r="AW6" i="155"/>
  <c r="P6" i="155"/>
  <c r="S6" i="155"/>
  <c r="V6" i="155"/>
  <c r="D6" i="155"/>
  <c r="I6" i="155"/>
  <c r="M6" i="155"/>
  <c r="Z6" i="155"/>
  <c r="R6" i="155"/>
  <c r="U6" i="155"/>
  <c r="X6" i="155"/>
  <c r="J6" i="155"/>
  <c r="O6" i="155"/>
  <c r="D45" i="157"/>
  <c r="B6" i="158"/>
  <c r="G6" i="158" s="1"/>
  <c r="C53" i="157"/>
  <c r="C54" i="157" s="1"/>
  <c r="D54" i="157" s="1"/>
  <c r="B7" i="156"/>
  <c r="K68" i="142"/>
  <c r="K69" i="142" s="1"/>
  <c r="L68" i="142"/>
  <c r="L69" i="142" s="1"/>
  <c r="D29" i="164"/>
  <c r="C57" i="164"/>
  <c r="B22" i="165" s="1"/>
  <c r="C15" i="164"/>
  <c r="B5" i="158"/>
  <c r="D5" i="158" s="1"/>
  <c r="C55" i="157"/>
  <c r="C55" i="160"/>
  <c r="D44" i="157"/>
  <c r="G6" i="155"/>
  <c r="B16" i="105"/>
  <c r="B23" i="164"/>
  <c r="B24" i="164" s="1"/>
  <c r="B25" i="164" s="1"/>
  <c r="AS13" i="165"/>
  <c r="C44" i="149"/>
  <c r="U13" i="162"/>
  <c r="AS21" i="165"/>
  <c r="C10" i="164"/>
  <c r="E9" i="164"/>
  <c r="D28" i="164" s="1"/>
  <c r="D32" i="164" s="1"/>
  <c r="D43" i="164"/>
  <c r="G6" i="140"/>
  <c r="C39" i="164"/>
  <c r="D46" i="164"/>
  <c r="D56" i="164"/>
  <c r="D47" i="164"/>
  <c r="D58" i="164"/>
  <c r="C44" i="164"/>
  <c r="D59" i="164"/>
  <c r="D40" i="164"/>
  <c r="D51" i="164"/>
  <c r="B17" i="158"/>
  <c r="AW17" i="158" s="1"/>
  <c r="AX17" i="158" s="1"/>
  <c r="D50" i="157"/>
  <c r="AX13" i="155"/>
  <c r="W21" i="155"/>
  <c r="AV21" i="155" s="1"/>
  <c r="AA24" i="155"/>
  <c r="N12" i="155"/>
  <c r="AW21" i="155"/>
  <c r="Y24" i="155"/>
  <c r="O12" i="155"/>
  <c r="W6" i="155"/>
  <c r="T6" i="155"/>
  <c r="Q6" i="155"/>
  <c r="N6" i="155"/>
  <c r="AW9" i="155"/>
  <c r="AX9" i="155" s="1"/>
  <c r="X25" i="155"/>
  <c r="X24" i="155"/>
  <c r="H12" i="155"/>
  <c r="K6" i="155"/>
  <c r="F6" i="155"/>
  <c r="N17" i="155"/>
  <c r="Q25" i="155"/>
  <c r="U24" i="155"/>
  <c r="G12" i="155"/>
  <c r="AV12" i="155" s="1"/>
  <c r="AX12" i="155" s="1"/>
  <c r="AA6" i="155"/>
  <c r="Y6" i="155"/>
  <c r="F18" i="155"/>
  <c r="L18" i="155" s="1"/>
  <c r="J17" i="155"/>
  <c r="AV17" i="155" s="1"/>
  <c r="AX17" i="155" s="1"/>
  <c r="R25" i="155"/>
  <c r="V24" i="155"/>
  <c r="I12" i="155"/>
  <c r="H6" i="155"/>
  <c r="AB6" i="155"/>
  <c r="Z17" i="155"/>
  <c r="S25" i="155"/>
  <c r="W24" i="155"/>
  <c r="E18" i="155"/>
  <c r="V17" i="155"/>
  <c r="T25" i="155"/>
  <c r="R17" i="155"/>
  <c r="U25" i="155"/>
  <c r="W19" i="155"/>
  <c r="V25" i="155"/>
  <c r="AW19" i="155"/>
  <c r="V19" i="155"/>
  <c r="N13" i="156"/>
  <c r="N20" i="156"/>
  <c r="M20" i="156"/>
  <c r="AX21" i="158"/>
  <c r="AV18" i="158"/>
  <c r="AX18" i="158" s="1"/>
  <c r="I4" i="158"/>
  <c r="AW24" i="158"/>
  <c r="AX24" i="158" s="1"/>
  <c r="S25" i="158"/>
  <c r="U25" i="158"/>
  <c r="AG24" i="158"/>
  <c r="AE25" i="158"/>
  <c r="V25" i="158"/>
  <c r="AE24" i="158"/>
  <c r="V18" i="158"/>
  <c r="X25" i="158"/>
  <c r="Z25" i="158"/>
  <c r="X24" i="158"/>
  <c r="AV24" i="158" s="1"/>
  <c r="Z24" i="158"/>
  <c r="AB24" i="158"/>
  <c r="AI24" i="158"/>
  <c r="AH24" i="158"/>
  <c r="H5" i="162"/>
  <c r="U6" i="162"/>
  <c r="AW9" i="154"/>
  <c r="AS24" i="165"/>
  <c r="G5" i="140"/>
  <c r="AS9" i="165"/>
  <c r="AS6" i="165"/>
  <c r="B11" i="155"/>
  <c r="D50" i="160"/>
  <c r="D45" i="164"/>
  <c r="B11" i="165"/>
  <c r="AE11" i="158"/>
  <c r="AF11" i="158"/>
  <c r="B12" i="154"/>
  <c r="C71" i="157"/>
  <c r="C87" i="157"/>
  <c r="C27" i="157"/>
  <c r="C79" i="157"/>
  <c r="C42" i="157"/>
  <c r="C71" i="160"/>
  <c r="C42" i="160"/>
  <c r="B21" i="160"/>
  <c r="C79" i="160"/>
  <c r="C27" i="160"/>
  <c r="M12" i="156" l="1"/>
  <c r="O12" i="156" s="1"/>
  <c r="D7" i="156"/>
  <c r="F7" i="156"/>
  <c r="G7" i="156"/>
  <c r="H7" i="156"/>
  <c r="I7" i="156"/>
  <c r="J7" i="156"/>
  <c r="C7" i="156"/>
  <c r="K7" i="156"/>
  <c r="L7" i="156"/>
  <c r="E7" i="156"/>
  <c r="S17" i="162"/>
  <c r="K17" i="162"/>
  <c r="C17" i="162"/>
  <c r="R17" i="162"/>
  <c r="J17" i="162"/>
  <c r="Q17" i="162"/>
  <c r="I17" i="162"/>
  <c r="P17" i="162"/>
  <c r="H17" i="162"/>
  <c r="O17" i="162"/>
  <c r="G17" i="162"/>
  <c r="N17" i="162"/>
  <c r="F17" i="162"/>
  <c r="M17" i="162"/>
  <c r="L17" i="162"/>
  <c r="D17" i="162"/>
  <c r="E17" i="162"/>
  <c r="M15" i="162"/>
  <c r="E15" i="162"/>
  <c r="L15" i="162"/>
  <c r="D15" i="162"/>
  <c r="O15" i="162"/>
  <c r="S15" i="162"/>
  <c r="K15" i="162"/>
  <c r="C15" i="162"/>
  <c r="R15" i="162"/>
  <c r="J15" i="162"/>
  <c r="Q15" i="162"/>
  <c r="I15" i="162"/>
  <c r="P15" i="162"/>
  <c r="H15" i="162"/>
  <c r="G15" i="162"/>
  <c r="N15" i="162"/>
  <c r="F15" i="162"/>
  <c r="O10" i="156"/>
  <c r="T10" i="162"/>
  <c r="V10" i="162" s="1"/>
  <c r="T21" i="162"/>
  <c r="V21" i="162" s="1"/>
  <c r="T14" i="162"/>
  <c r="V14" i="162" s="1"/>
  <c r="T22" i="162"/>
  <c r="V22" i="162" s="1"/>
  <c r="T23" i="162"/>
  <c r="V23" i="162" s="1"/>
  <c r="T11" i="162"/>
  <c r="V11" i="162" s="1"/>
  <c r="D6" i="140"/>
  <c r="G12" i="140"/>
  <c r="B78" i="149"/>
  <c r="T12" i="162"/>
  <c r="V12" i="162" s="1"/>
  <c r="T19" i="162"/>
  <c r="V19" i="162" s="1"/>
  <c r="T5" i="162"/>
  <c r="T7" i="162"/>
  <c r="V7" i="162" s="1"/>
  <c r="T24" i="162"/>
  <c r="V24" i="162" s="1"/>
  <c r="O18" i="156"/>
  <c r="O9" i="156"/>
  <c r="O14" i="156"/>
  <c r="O20" i="156"/>
  <c r="AX14" i="154"/>
  <c r="AX9" i="154"/>
  <c r="AV20" i="154"/>
  <c r="AX20" i="154" s="1"/>
  <c r="AV13" i="154"/>
  <c r="AX13" i="154" s="1"/>
  <c r="AW22" i="154"/>
  <c r="C22" i="154"/>
  <c r="K22" i="154"/>
  <c r="N22" i="154"/>
  <c r="O22" i="154"/>
  <c r="H22" i="154"/>
  <c r="D22" i="154"/>
  <c r="L22" i="154"/>
  <c r="F22" i="154"/>
  <c r="G22" i="154"/>
  <c r="P22" i="154"/>
  <c r="E22" i="154"/>
  <c r="M22" i="154"/>
  <c r="I22" i="154"/>
  <c r="J22" i="154"/>
  <c r="C53" i="164"/>
  <c r="C52" i="164"/>
  <c r="B18" i="165" s="1"/>
  <c r="AR12" i="165"/>
  <c r="AT12" i="165" s="1"/>
  <c r="AR8" i="165"/>
  <c r="AT8" i="165" s="1"/>
  <c r="AT23" i="165"/>
  <c r="AR17" i="165"/>
  <c r="AT17" i="165" s="1"/>
  <c r="AR9" i="165"/>
  <c r="AT9" i="165" s="1"/>
  <c r="AR13" i="165"/>
  <c r="AT13" i="165" s="1"/>
  <c r="AU7" i="105"/>
  <c r="AW7" i="105" s="1"/>
  <c r="C14" i="105"/>
  <c r="I14" i="105"/>
  <c r="J14" i="105"/>
  <c r="Q14" i="105"/>
  <c r="R14" i="105"/>
  <c r="P14" i="105"/>
  <c r="N14" i="105"/>
  <c r="L14" i="105"/>
  <c r="H14" i="105"/>
  <c r="F14" i="105"/>
  <c r="D14" i="105"/>
  <c r="U14" i="105"/>
  <c r="S14" i="105"/>
  <c r="AV14" i="105"/>
  <c r="M14" i="105"/>
  <c r="K14" i="105"/>
  <c r="O14" i="105"/>
  <c r="E14" i="105"/>
  <c r="V14" i="105"/>
  <c r="T14" i="105"/>
  <c r="G14" i="105"/>
  <c r="F16" i="105"/>
  <c r="N16" i="105"/>
  <c r="V16" i="105"/>
  <c r="D16" i="105"/>
  <c r="M16" i="105"/>
  <c r="G16" i="105"/>
  <c r="O16" i="105"/>
  <c r="AV16" i="105"/>
  <c r="H16" i="105"/>
  <c r="P16" i="105"/>
  <c r="U16" i="105"/>
  <c r="I16" i="105"/>
  <c r="Q16" i="105"/>
  <c r="J16" i="105"/>
  <c r="R16" i="105"/>
  <c r="L16" i="105"/>
  <c r="E16" i="105"/>
  <c r="C16" i="105"/>
  <c r="K16" i="105"/>
  <c r="S16" i="105"/>
  <c r="T16" i="105"/>
  <c r="I11" i="165"/>
  <c r="Q11" i="165"/>
  <c r="J11" i="165"/>
  <c r="R11" i="165"/>
  <c r="C11" i="165"/>
  <c r="K11" i="165"/>
  <c r="S11" i="165"/>
  <c r="E11" i="165"/>
  <c r="M11" i="165"/>
  <c r="U11" i="165"/>
  <c r="F11" i="165"/>
  <c r="N11" i="165"/>
  <c r="D11" i="165"/>
  <c r="L11" i="165"/>
  <c r="T11" i="165"/>
  <c r="G11" i="165"/>
  <c r="O11" i="165"/>
  <c r="H11" i="165"/>
  <c r="P11" i="165"/>
  <c r="D12" i="154"/>
  <c r="L12" i="154"/>
  <c r="E12" i="154"/>
  <c r="M12" i="154"/>
  <c r="F12" i="154"/>
  <c r="N12" i="154"/>
  <c r="H12" i="154"/>
  <c r="P12" i="154"/>
  <c r="G12" i="154"/>
  <c r="O12" i="154"/>
  <c r="J12" i="154"/>
  <c r="C12" i="154"/>
  <c r="K12" i="154"/>
  <c r="I12" i="154"/>
  <c r="D44" i="149"/>
  <c r="C22" i="165"/>
  <c r="G7" i="158"/>
  <c r="W7" i="158"/>
  <c r="X5" i="155"/>
  <c r="M24" i="156"/>
  <c r="O24" i="156" s="1"/>
  <c r="Y7" i="158"/>
  <c r="AV25" i="154"/>
  <c r="AX25" i="154" s="1"/>
  <c r="AV18" i="154"/>
  <c r="AX18" i="154" s="1"/>
  <c r="N22" i="156"/>
  <c r="U17" i="162"/>
  <c r="U15" i="162"/>
  <c r="B19" i="156"/>
  <c r="B11" i="156"/>
  <c r="C72" i="152"/>
  <c r="T25" i="162"/>
  <c r="V25" i="162" s="1"/>
  <c r="T13" i="162"/>
  <c r="V13" i="162" s="1"/>
  <c r="T18" i="162"/>
  <c r="V18" i="162" s="1"/>
  <c r="W12" i="172"/>
  <c r="Y12" i="172" s="1"/>
  <c r="AA5" i="155"/>
  <c r="H5" i="155"/>
  <c r="D5" i="155"/>
  <c r="X7" i="155"/>
  <c r="W7" i="155"/>
  <c r="F7" i="155"/>
  <c r="S7" i="155"/>
  <c r="AB7" i="155"/>
  <c r="Q7" i="155"/>
  <c r="D7" i="158"/>
  <c r="N7" i="155"/>
  <c r="Y7" i="155"/>
  <c r="I7" i="158"/>
  <c r="I7" i="155"/>
  <c r="D7" i="155"/>
  <c r="E7" i="158"/>
  <c r="AA7" i="158"/>
  <c r="AJ7" i="158"/>
  <c r="C7" i="155"/>
  <c r="V7" i="155"/>
  <c r="H7" i="158"/>
  <c r="G7" i="155"/>
  <c r="R7" i="155"/>
  <c r="H7" i="155"/>
  <c r="AX10" i="154"/>
  <c r="AR21" i="165"/>
  <c r="AT21" i="165" s="1"/>
  <c r="Z5" i="155"/>
  <c r="N5" i="155"/>
  <c r="I5" i="155"/>
  <c r="P5" i="155"/>
  <c r="AB5" i="155"/>
  <c r="Q5" i="155"/>
  <c r="S5" i="155"/>
  <c r="C5" i="155"/>
  <c r="T5" i="155"/>
  <c r="V5" i="155"/>
  <c r="E5" i="155"/>
  <c r="M5" i="155"/>
  <c r="W5" i="155"/>
  <c r="O5" i="155"/>
  <c r="R5" i="155"/>
  <c r="F5" i="155"/>
  <c r="AW5" i="155"/>
  <c r="U5" i="155"/>
  <c r="Y5" i="155"/>
  <c r="K5" i="155"/>
  <c r="L5" i="155"/>
  <c r="J5" i="155"/>
  <c r="U7" i="155"/>
  <c r="P7" i="155"/>
  <c r="AH6" i="158"/>
  <c r="C61" i="157"/>
  <c r="B22" i="158" s="1"/>
  <c r="E7" i="155"/>
  <c r="L7" i="155"/>
  <c r="T7" i="155"/>
  <c r="D30" i="157"/>
  <c r="D31" i="157" s="1"/>
  <c r="D36" i="157" s="1"/>
  <c r="D57" i="164"/>
  <c r="U6" i="158"/>
  <c r="AI6" i="158"/>
  <c r="C47" i="153"/>
  <c r="B6" i="156"/>
  <c r="B32" i="164"/>
  <c r="H5" i="158"/>
  <c r="Y5" i="158"/>
  <c r="B14" i="155"/>
  <c r="D53" i="160"/>
  <c r="AH5" i="158"/>
  <c r="Z7" i="155"/>
  <c r="AA7" i="155"/>
  <c r="J7" i="155"/>
  <c r="M7" i="155"/>
  <c r="O7" i="155"/>
  <c r="AW7" i="155"/>
  <c r="F5" i="158"/>
  <c r="AA5" i="158"/>
  <c r="H6" i="158"/>
  <c r="K70" i="142"/>
  <c r="B16" i="158"/>
  <c r="D55" i="157"/>
  <c r="C16" i="160"/>
  <c r="C61" i="160"/>
  <c r="D30" i="160"/>
  <c r="D31" i="160" s="1"/>
  <c r="W5" i="158"/>
  <c r="U5" i="158"/>
  <c r="AD5" i="158"/>
  <c r="AS22" i="165"/>
  <c r="AV6" i="155"/>
  <c r="AX6" i="155" s="1"/>
  <c r="AI5" i="158"/>
  <c r="G5" i="158"/>
  <c r="B16" i="155"/>
  <c r="D55" i="160"/>
  <c r="AI7" i="158"/>
  <c r="X7" i="158"/>
  <c r="AF7" i="158"/>
  <c r="Z7" i="158"/>
  <c r="U7" i="158"/>
  <c r="AW7" i="158"/>
  <c r="AE7" i="158"/>
  <c r="AB7" i="158"/>
  <c r="T7" i="158"/>
  <c r="R7" i="158"/>
  <c r="AH7" i="158"/>
  <c r="F7" i="158"/>
  <c r="C7" i="158"/>
  <c r="AG7" i="158"/>
  <c r="AD7" i="158"/>
  <c r="V7" i="158"/>
  <c r="S7" i="158"/>
  <c r="Q7" i="158"/>
  <c r="N7" i="156"/>
  <c r="AC5" i="158"/>
  <c r="AE5" i="158"/>
  <c r="AB5" i="158"/>
  <c r="T5" i="158"/>
  <c r="R5" i="158"/>
  <c r="C5" i="158"/>
  <c r="V5" i="158"/>
  <c r="AG5" i="158"/>
  <c r="S5" i="158"/>
  <c r="Q5" i="158"/>
  <c r="E5" i="158"/>
  <c r="AW5" i="158"/>
  <c r="X5" i="158"/>
  <c r="AJ5" i="158"/>
  <c r="AF5" i="158"/>
  <c r="Z5" i="158"/>
  <c r="B14" i="158"/>
  <c r="D53" i="157"/>
  <c r="AG6" i="158"/>
  <c r="AF6" i="158"/>
  <c r="Z6" i="158"/>
  <c r="AE6" i="158"/>
  <c r="AB6" i="158"/>
  <c r="T6" i="158"/>
  <c r="R6" i="158"/>
  <c r="W6" i="158"/>
  <c r="F6" i="158"/>
  <c r="C6" i="158"/>
  <c r="Y6" i="158"/>
  <c r="AC6" i="158"/>
  <c r="AA6" i="158"/>
  <c r="AD6" i="158"/>
  <c r="V6" i="158"/>
  <c r="S6" i="158"/>
  <c r="Q6" i="158"/>
  <c r="E6" i="158"/>
  <c r="AW6" i="158"/>
  <c r="X6" i="158"/>
  <c r="D6" i="158"/>
  <c r="AJ6" i="158"/>
  <c r="L60" i="142"/>
  <c r="B15" i="105"/>
  <c r="B79" i="149"/>
  <c r="T20" i="162"/>
  <c r="V20" i="162" s="1"/>
  <c r="T8" i="162"/>
  <c r="V8" i="162" s="1"/>
  <c r="B10" i="165"/>
  <c r="D44" i="164"/>
  <c r="D39" i="164"/>
  <c r="C41" i="164"/>
  <c r="B5" i="165"/>
  <c r="AR24" i="165"/>
  <c r="AT24" i="165" s="1"/>
  <c r="AR6" i="165"/>
  <c r="AT6" i="165" s="1"/>
  <c r="AX21" i="155"/>
  <c r="AV19" i="155"/>
  <c r="AX19" i="155"/>
  <c r="AV24" i="155"/>
  <c r="AX24" i="155" s="1"/>
  <c r="AV18" i="155"/>
  <c r="AX18" i="155" s="1"/>
  <c r="AV25" i="155"/>
  <c r="AX25" i="155" s="1"/>
  <c r="M25" i="156"/>
  <c r="O25" i="156" s="1"/>
  <c r="M13" i="156"/>
  <c r="O13" i="156" s="1"/>
  <c r="J4" i="158"/>
  <c r="I6" i="158"/>
  <c r="AV25" i="158"/>
  <c r="AX25" i="158" s="1"/>
  <c r="I5" i="158"/>
  <c r="T26" i="162"/>
  <c r="V26" i="162" s="1"/>
  <c r="AW11" i="155"/>
  <c r="AX11" i="155" s="1"/>
  <c r="B15" i="158"/>
  <c r="AE15" i="158" s="1"/>
  <c r="B15" i="155"/>
  <c r="D54" i="160"/>
  <c r="AS11" i="165"/>
  <c r="AV11" i="158"/>
  <c r="B16" i="162"/>
  <c r="AW12" i="154"/>
  <c r="F6" i="156" l="1"/>
  <c r="C6" i="156"/>
  <c r="G6" i="156"/>
  <c r="H6" i="156"/>
  <c r="L6" i="156"/>
  <c r="I6" i="156"/>
  <c r="J6" i="156"/>
  <c r="E6" i="156"/>
  <c r="K6" i="156"/>
  <c r="D6" i="156"/>
  <c r="B83" i="152"/>
  <c r="B82" i="152"/>
  <c r="L16" i="162"/>
  <c r="L27" i="162" s="1"/>
  <c r="D16" i="162"/>
  <c r="D27" i="162" s="1"/>
  <c r="N16" i="162"/>
  <c r="N27" i="162" s="1"/>
  <c r="S16" i="162"/>
  <c r="S27" i="162" s="1"/>
  <c r="K16" i="162"/>
  <c r="K27" i="162" s="1"/>
  <c r="C16" i="162"/>
  <c r="R16" i="162"/>
  <c r="R27" i="162" s="1"/>
  <c r="J16" i="162"/>
  <c r="J27" i="162" s="1"/>
  <c r="Q16" i="162"/>
  <c r="Q27" i="162" s="1"/>
  <c r="I16" i="162"/>
  <c r="I27" i="162" s="1"/>
  <c r="P16" i="162"/>
  <c r="P27" i="162" s="1"/>
  <c r="H16" i="162"/>
  <c r="H27" i="162" s="1"/>
  <c r="H42" i="162" s="1"/>
  <c r="AJ23" i="159" s="1"/>
  <c r="F16" i="162"/>
  <c r="F27" i="162" s="1"/>
  <c r="O16" i="162"/>
  <c r="O27" i="162" s="1"/>
  <c r="G16" i="162"/>
  <c r="G27" i="162" s="1"/>
  <c r="M16" i="162"/>
  <c r="M27" i="162" s="1"/>
  <c r="E16" i="162"/>
  <c r="E27" i="162" s="1"/>
  <c r="B21" i="164"/>
  <c r="D52" i="164"/>
  <c r="T6" i="162"/>
  <c r="V6" i="162" s="1"/>
  <c r="B73" i="152"/>
  <c r="B76" i="152"/>
  <c r="B80" i="152" s="1"/>
  <c r="N10" i="140" s="1"/>
  <c r="B74" i="152"/>
  <c r="N11" i="156"/>
  <c r="M11" i="156"/>
  <c r="C56" i="153"/>
  <c r="D56" i="153" s="1"/>
  <c r="D47" i="153"/>
  <c r="C54" i="153"/>
  <c r="D54" i="153" s="1"/>
  <c r="X24" i="172"/>
  <c r="Y24" i="172" s="1"/>
  <c r="D67" i="150"/>
  <c r="AV22" i="154"/>
  <c r="AX22" i="154" s="1"/>
  <c r="B19" i="165"/>
  <c r="D53" i="164"/>
  <c r="AR22" i="165"/>
  <c r="AT22" i="165" s="1"/>
  <c r="G18" i="165"/>
  <c r="O18" i="165"/>
  <c r="H18" i="165"/>
  <c r="P18" i="165"/>
  <c r="I18" i="165"/>
  <c r="Q18" i="165"/>
  <c r="J18" i="165"/>
  <c r="R18" i="165"/>
  <c r="C18" i="165"/>
  <c r="K18" i="165"/>
  <c r="S18" i="165"/>
  <c r="D18" i="165"/>
  <c r="L18" i="165"/>
  <c r="T18" i="165"/>
  <c r="E18" i="165"/>
  <c r="M18" i="165"/>
  <c r="U18" i="165"/>
  <c r="N18" i="165"/>
  <c r="F18" i="165"/>
  <c r="T5" i="165"/>
  <c r="L5" i="165"/>
  <c r="D5" i="165"/>
  <c r="S5" i="165"/>
  <c r="K5" i="165"/>
  <c r="C5" i="165"/>
  <c r="R5" i="165"/>
  <c r="J5" i="165"/>
  <c r="Q5" i="165"/>
  <c r="I5" i="165"/>
  <c r="P5" i="165"/>
  <c r="H5" i="165"/>
  <c r="O5" i="165"/>
  <c r="G5" i="165"/>
  <c r="M5" i="165"/>
  <c r="F5" i="165"/>
  <c r="E5" i="165"/>
  <c r="N5" i="165"/>
  <c r="U5" i="165"/>
  <c r="C10" i="165"/>
  <c r="AR10" i="165" s="1"/>
  <c r="AU14" i="105"/>
  <c r="AW14" i="105" s="1"/>
  <c r="AU16" i="105"/>
  <c r="AW16" i="105" s="1"/>
  <c r="AR11" i="165"/>
  <c r="AT11" i="165" s="1"/>
  <c r="C15" i="105"/>
  <c r="K15" i="105"/>
  <c r="S15" i="105"/>
  <c r="N15" i="105"/>
  <c r="Q15" i="105"/>
  <c r="D15" i="105"/>
  <c r="L15" i="105"/>
  <c r="T15" i="105"/>
  <c r="F15" i="105"/>
  <c r="E15" i="105"/>
  <c r="M15" i="105"/>
  <c r="U15" i="105"/>
  <c r="V15" i="105"/>
  <c r="R15" i="105"/>
  <c r="G15" i="105"/>
  <c r="O15" i="105"/>
  <c r="AV15" i="105"/>
  <c r="J15" i="105"/>
  <c r="H15" i="105"/>
  <c r="P15" i="105"/>
  <c r="I15" i="105"/>
  <c r="P26" i="155"/>
  <c r="P41" i="155" s="1"/>
  <c r="O26" i="155"/>
  <c r="O41" i="155" s="1"/>
  <c r="D61" i="157"/>
  <c r="M22" i="156"/>
  <c r="O22" i="156" s="1"/>
  <c r="T17" i="162"/>
  <c r="V17" i="162" s="1"/>
  <c r="T15" i="162"/>
  <c r="V15" i="162" s="1"/>
  <c r="K10" i="140"/>
  <c r="D72" i="152"/>
  <c r="M19" i="156"/>
  <c r="N19" i="156"/>
  <c r="B23" i="154"/>
  <c r="AV5" i="155"/>
  <c r="AX5" i="155" s="1"/>
  <c r="C32" i="164"/>
  <c r="C54" i="164"/>
  <c r="D54" i="164" s="1"/>
  <c r="D39" i="157"/>
  <c r="C59" i="157" s="1"/>
  <c r="D34" i="157"/>
  <c r="D35" i="157" s="1"/>
  <c r="D37" i="157" s="1"/>
  <c r="AV7" i="155"/>
  <c r="AX7" i="155" s="1"/>
  <c r="N6" i="156"/>
  <c r="B8" i="156"/>
  <c r="I14" i="155"/>
  <c r="I26" i="155" s="1"/>
  <c r="I41" i="155" s="1"/>
  <c r="H14" i="155"/>
  <c r="H26" i="155" s="1"/>
  <c r="H41" i="155" s="1"/>
  <c r="L14" i="155"/>
  <c r="L26" i="155" s="1"/>
  <c r="L41" i="155" s="1"/>
  <c r="K14" i="155"/>
  <c r="K26" i="155" s="1"/>
  <c r="K41" i="155" s="1"/>
  <c r="E14" i="155"/>
  <c r="J14" i="155"/>
  <c r="J26" i="155" s="1"/>
  <c r="J41" i="155" s="1"/>
  <c r="AW14" i="155"/>
  <c r="G14" i="155"/>
  <c r="F14" i="155"/>
  <c r="N14" i="155"/>
  <c r="N26" i="155" s="1"/>
  <c r="N41" i="155" s="1"/>
  <c r="M14" i="155"/>
  <c r="M26" i="155" s="1"/>
  <c r="M41" i="155" s="1"/>
  <c r="AI22" i="158"/>
  <c r="AW22" i="158"/>
  <c r="AH22" i="158"/>
  <c r="AF22" i="158"/>
  <c r="AG22" i="158"/>
  <c r="AA16" i="158"/>
  <c r="X16" i="158"/>
  <c r="Z16" i="158"/>
  <c r="AB16" i="158"/>
  <c r="T16" i="158"/>
  <c r="R16" i="158"/>
  <c r="Q16" i="158"/>
  <c r="AW16" i="158"/>
  <c r="F16" i="158"/>
  <c r="C16" i="158"/>
  <c r="AD16" i="158"/>
  <c r="V16" i="158"/>
  <c r="S16" i="158"/>
  <c r="U16" i="158"/>
  <c r="E16" i="158"/>
  <c r="D16" i="158"/>
  <c r="G16" i="158"/>
  <c r="AF16" i="158"/>
  <c r="AC16" i="158"/>
  <c r="W16" i="158"/>
  <c r="AE16" i="158"/>
  <c r="AE26" i="158" s="1"/>
  <c r="AE41" i="158" s="1"/>
  <c r="Y16" i="158"/>
  <c r="E16" i="155"/>
  <c r="D16" i="155"/>
  <c r="Q16" i="155"/>
  <c r="R16" i="155"/>
  <c r="AW16" i="155"/>
  <c r="T16" i="155"/>
  <c r="F16" i="155"/>
  <c r="U16" i="155"/>
  <c r="W16" i="155"/>
  <c r="X16" i="155"/>
  <c r="C16" i="155"/>
  <c r="G16" i="155"/>
  <c r="V16" i="155"/>
  <c r="S16" i="155"/>
  <c r="D34" i="160"/>
  <c r="D35" i="160" s="1"/>
  <c r="D39" i="160"/>
  <c r="C59" i="160" s="1"/>
  <c r="D36" i="160"/>
  <c r="B22" i="155"/>
  <c r="D61" i="160"/>
  <c r="AW14" i="158"/>
  <c r="E14" i="158"/>
  <c r="F14" i="158"/>
  <c r="G14" i="158"/>
  <c r="H14" i="158"/>
  <c r="H26" i="158" s="1"/>
  <c r="H41" i="158" s="1"/>
  <c r="I14" i="158"/>
  <c r="I26" i="158" s="1"/>
  <c r="I41" i="158" s="1"/>
  <c r="J14" i="158"/>
  <c r="K14" i="158"/>
  <c r="AS5" i="165"/>
  <c r="D41" i="164"/>
  <c r="B7" i="165"/>
  <c r="C48" i="164"/>
  <c r="C50" i="164"/>
  <c r="AS10" i="165"/>
  <c r="AS18" i="165"/>
  <c r="F15" i="158"/>
  <c r="U15" i="158"/>
  <c r="AV12" i="154"/>
  <c r="S15" i="158"/>
  <c r="AW15" i="158"/>
  <c r="AD15" i="158"/>
  <c r="E15" i="158"/>
  <c r="AB15" i="158"/>
  <c r="Q15" i="158"/>
  <c r="C15" i="158"/>
  <c r="V15" i="158"/>
  <c r="T15" i="158"/>
  <c r="R15" i="158"/>
  <c r="AF15" i="158"/>
  <c r="J5" i="158"/>
  <c r="J6" i="158"/>
  <c r="J7" i="158"/>
  <c r="K4" i="158"/>
  <c r="W15" i="158"/>
  <c r="AC15" i="158"/>
  <c r="AA15" i="158"/>
  <c r="X15" i="158"/>
  <c r="D15" i="158"/>
  <c r="Z15" i="158"/>
  <c r="Y15" i="158"/>
  <c r="G15" i="158"/>
  <c r="R15" i="155"/>
  <c r="U15" i="155"/>
  <c r="X15" i="155"/>
  <c r="F15" i="155"/>
  <c r="AW15" i="155"/>
  <c r="D15" i="155"/>
  <c r="S15" i="155"/>
  <c r="V15" i="155"/>
  <c r="C15" i="155"/>
  <c r="G15" i="155"/>
  <c r="W15" i="155"/>
  <c r="E15" i="155"/>
  <c r="T15" i="155"/>
  <c r="Q15" i="155"/>
  <c r="AX11" i="158"/>
  <c r="U16" i="162"/>
  <c r="B27" i="162"/>
  <c r="F8" i="156" l="1"/>
  <c r="G8" i="156"/>
  <c r="H8" i="156"/>
  <c r="L8" i="156"/>
  <c r="I8" i="156"/>
  <c r="J8" i="156"/>
  <c r="D8" i="156"/>
  <c r="C8" i="156"/>
  <c r="K8" i="156"/>
  <c r="E8" i="156"/>
  <c r="B41" i="162"/>
  <c r="B15" i="156"/>
  <c r="C55" i="153"/>
  <c r="Q42" i="162"/>
  <c r="AS23" i="159" s="1"/>
  <c r="N42" i="162"/>
  <c r="AP23" i="159" s="1"/>
  <c r="G42" i="162"/>
  <c r="AI23" i="159" s="1"/>
  <c r="O42" i="162"/>
  <c r="AQ23" i="159" s="1"/>
  <c r="J42" i="162"/>
  <c r="AL23" i="159" s="1"/>
  <c r="I42" i="162"/>
  <c r="AK23" i="159" s="1"/>
  <c r="F42" i="162"/>
  <c r="AH23" i="159" s="1"/>
  <c r="K42" i="162"/>
  <c r="AM23" i="159" s="1"/>
  <c r="M42" i="162"/>
  <c r="AO23" i="159" s="1"/>
  <c r="P42" i="162"/>
  <c r="AR23" i="159" s="1"/>
  <c r="E42" i="162"/>
  <c r="AG23" i="159" s="1"/>
  <c r="L42" i="162"/>
  <c r="AN23" i="159" s="1"/>
  <c r="D42" i="162"/>
  <c r="AF23" i="159" s="1"/>
  <c r="G69" i="152"/>
  <c r="B91" i="152"/>
  <c r="L10" i="140"/>
  <c r="B92" i="152"/>
  <c r="O11" i="156"/>
  <c r="AW23" i="154"/>
  <c r="C23" i="154"/>
  <c r="AV23" i="154" s="1"/>
  <c r="Q19" i="165"/>
  <c r="L19" i="165"/>
  <c r="G19" i="165"/>
  <c r="J19" i="165"/>
  <c r="T19" i="165"/>
  <c r="H19" i="165"/>
  <c r="F19" i="165"/>
  <c r="I19" i="165"/>
  <c r="R19" i="165"/>
  <c r="E19" i="165"/>
  <c r="P19" i="165"/>
  <c r="C19" i="165"/>
  <c r="M19" i="165"/>
  <c r="K19" i="165"/>
  <c r="U19" i="165"/>
  <c r="AS19" i="165"/>
  <c r="S19" i="165"/>
  <c r="D19" i="165"/>
  <c r="O19" i="165"/>
  <c r="N19" i="165"/>
  <c r="AR18" i="165"/>
  <c r="AT18" i="165" s="1"/>
  <c r="E7" i="165"/>
  <c r="M7" i="165"/>
  <c r="U7" i="165"/>
  <c r="F7" i="165"/>
  <c r="N7" i="165"/>
  <c r="G7" i="165"/>
  <c r="O7" i="165"/>
  <c r="H7" i="165"/>
  <c r="P7" i="165"/>
  <c r="I7" i="165"/>
  <c r="Q7" i="165"/>
  <c r="J7" i="165"/>
  <c r="R7" i="165"/>
  <c r="C7" i="165"/>
  <c r="K7" i="165"/>
  <c r="S7" i="165"/>
  <c r="D7" i="165"/>
  <c r="L7" i="165"/>
  <c r="T7" i="165"/>
  <c r="AU15" i="105"/>
  <c r="AA26" i="158"/>
  <c r="AA41" i="158" s="1"/>
  <c r="D35" i="164"/>
  <c r="B35" i="164" s="1"/>
  <c r="C83" i="152"/>
  <c r="B31" i="162"/>
  <c r="B32" i="162"/>
  <c r="B33" i="162" s="1"/>
  <c r="C82" i="152"/>
  <c r="G70" i="152"/>
  <c r="M10" i="140"/>
  <c r="B84" i="152"/>
  <c r="O19" i="156"/>
  <c r="D32" i="153"/>
  <c r="D26" i="158"/>
  <c r="D41" i="158" s="1"/>
  <c r="U26" i="155"/>
  <c r="U41" i="155" s="1"/>
  <c r="D26" i="155"/>
  <c r="D41" i="155" s="1"/>
  <c r="AB26" i="158"/>
  <c r="AB41" i="158" s="1"/>
  <c r="Y26" i="158"/>
  <c r="Y41" i="158" s="1"/>
  <c r="W26" i="158"/>
  <c r="W41" i="158" s="1"/>
  <c r="V26" i="158"/>
  <c r="V41" i="158" s="1"/>
  <c r="V26" i="155"/>
  <c r="V41" i="155" s="1"/>
  <c r="B20" i="165"/>
  <c r="F26" i="155"/>
  <c r="F41" i="155" s="1"/>
  <c r="AC26" i="158"/>
  <c r="AC41" i="158" s="1"/>
  <c r="AD26" i="158"/>
  <c r="AD41" i="158" s="1"/>
  <c r="Z26" i="158"/>
  <c r="Z41" i="158" s="1"/>
  <c r="C26" i="158"/>
  <c r="C29" i="158" s="1"/>
  <c r="S26" i="155"/>
  <c r="S41" i="155" s="1"/>
  <c r="X26" i="158"/>
  <c r="X41" i="158" s="1"/>
  <c r="T26" i="155"/>
  <c r="T41" i="155" s="1"/>
  <c r="D40" i="157"/>
  <c r="D41" i="157" s="1"/>
  <c r="D59" i="157"/>
  <c r="B20" i="158"/>
  <c r="C65" i="157"/>
  <c r="N8" i="156"/>
  <c r="G26" i="158"/>
  <c r="G41" i="158" s="1"/>
  <c r="E26" i="155"/>
  <c r="E41" i="155" s="1"/>
  <c r="W26" i="155"/>
  <c r="W41" i="155" s="1"/>
  <c r="Q26" i="155"/>
  <c r="Q41" i="155" s="1"/>
  <c r="B17" i="156"/>
  <c r="E26" i="158"/>
  <c r="E41" i="158" s="1"/>
  <c r="AF26" i="158"/>
  <c r="AF41" i="158" s="1"/>
  <c r="AV16" i="158"/>
  <c r="AX16" i="158" s="1"/>
  <c r="F26" i="158"/>
  <c r="F41" i="158" s="1"/>
  <c r="D37" i="160"/>
  <c r="D40" i="160" s="1"/>
  <c r="D41" i="160" s="1"/>
  <c r="AV14" i="155"/>
  <c r="AX14" i="155" s="1"/>
  <c r="R26" i="155"/>
  <c r="R41" i="155" s="1"/>
  <c r="N14" i="158"/>
  <c r="L14" i="158"/>
  <c r="R14" i="158"/>
  <c r="R26" i="158" s="1"/>
  <c r="R41" i="158" s="1"/>
  <c r="O14" i="158"/>
  <c r="Q14" i="158"/>
  <c r="Q26" i="158" s="1"/>
  <c r="Q41" i="158" s="1"/>
  <c r="T14" i="158"/>
  <c r="T26" i="158" s="1"/>
  <c r="T41" i="158" s="1"/>
  <c r="M14" i="158"/>
  <c r="P14" i="158"/>
  <c r="S14" i="158"/>
  <c r="S26" i="158" s="1"/>
  <c r="S41" i="158" s="1"/>
  <c r="U14" i="158"/>
  <c r="U26" i="158" s="1"/>
  <c r="U41" i="158" s="1"/>
  <c r="AV22" i="158"/>
  <c r="AX22" i="158" s="1"/>
  <c r="AV16" i="155"/>
  <c r="AX16" i="155" s="1"/>
  <c r="X22" i="155"/>
  <c r="X26" i="155" s="1"/>
  <c r="X41" i="155" s="1"/>
  <c r="Z22" i="155"/>
  <c r="AW22" i="155"/>
  <c r="Y22" i="155"/>
  <c r="G26" i="155"/>
  <c r="G41" i="155" s="1"/>
  <c r="D59" i="160"/>
  <c r="B20" i="155"/>
  <c r="C65" i="160"/>
  <c r="D48" i="164"/>
  <c r="B14" i="165"/>
  <c r="AS7" i="165"/>
  <c r="AT10" i="165"/>
  <c r="C49" i="164"/>
  <c r="AR5" i="165"/>
  <c r="B16" i="165"/>
  <c r="D50" i="164"/>
  <c r="AV15" i="158"/>
  <c r="AX15" i="158" s="1"/>
  <c r="K6" i="158"/>
  <c r="K7" i="158"/>
  <c r="L4" i="158"/>
  <c r="K5" i="158"/>
  <c r="J26" i="158"/>
  <c r="J41" i="158" s="1"/>
  <c r="C26" i="155"/>
  <c r="AV15" i="155"/>
  <c r="C80" i="152"/>
  <c r="B28" i="162"/>
  <c r="B81" i="152"/>
  <c r="AX12" i="154"/>
  <c r="U27" i="162"/>
  <c r="C27" i="162"/>
  <c r="T16" i="162"/>
  <c r="T27" i="162" s="1"/>
  <c r="C60" i="164" l="1"/>
  <c r="B25" i="165" s="1"/>
  <c r="H17" i="156"/>
  <c r="F17" i="156"/>
  <c r="I17" i="156"/>
  <c r="J17" i="156"/>
  <c r="C17" i="156"/>
  <c r="K17" i="156"/>
  <c r="D17" i="156"/>
  <c r="L17" i="156"/>
  <c r="G17" i="156"/>
  <c r="E17" i="156"/>
  <c r="R42" i="162"/>
  <c r="AT23" i="159" s="1"/>
  <c r="F15" i="156"/>
  <c r="G15" i="156"/>
  <c r="D15" i="156"/>
  <c r="H15" i="156"/>
  <c r="I15" i="156"/>
  <c r="L15" i="156"/>
  <c r="J15" i="156"/>
  <c r="C15" i="156"/>
  <c r="E15" i="156"/>
  <c r="K15" i="156"/>
  <c r="C63" i="153"/>
  <c r="D40" i="153"/>
  <c r="C40" i="153" s="1"/>
  <c r="N15" i="156"/>
  <c r="D55" i="153"/>
  <c r="B16" i="156"/>
  <c r="C81" i="152"/>
  <c r="B102" i="152"/>
  <c r="D37" i="153"/>
  <c r="B93" i="152"/>
  <c r="B99" i="152" s="1"/>
  <c r="AX23" i="154"/>
  <c r="AR19" i="165"/>
  <c r="AT19" i="165" s="1"/>
  <c r="E16" i="165"/>
  <c r="M16" i="165"/>
  <c r="U16" i="165"/>
  <c r="F16" i="165"/>
  <c r="N16" i="165"/>
  <c r="G16" i="165"/>
  <c r="O16" i="165"/>
  <c r="K16" i="165"/>
  <c r="H16" i="165"/>
  <c r="P16" i="165"/>
  <c r="I16" i="165"/>
  <c r="Q16" i="165"/>
  <c r="J16" i="165"/>
  <c r="R16" i="165"/>
  <c r="C16" i="165"/>
  <c r="S16" i="165"/>
  <c r="D16" i="165"/>
  <c r="L16" i="165"/>
  <c r="T16" i="165"/>
  <c r="C14" i="165"/>
  <c r="K14" i="165"/>
  <c r="S14" i="165"/>
  <c r="D14" i="165"/>
  <c r="L14" i="165"/>
  <c r="T14" i="165"/>
  <c r="E14" i="165"/>
  <c r="M14" i="165"/>
  <c r="U14" i="165"/>
  <c r="F14" i="165"/>
  <c r="N14" i="165"/>
  <c r="G14" i="165"/>
  <c r="O14" i="165"/>
  <c r="H14" i="165"/>
  <c r="P14" i="165"/>
  <c r="I14" i="165"/>
  <c r="Q14" i="165"/>
  <c r="J14" i="165"/>
  <c r="R14" i="165"/>
  <c r="AW15" i="105"/>
  <c r="AJ26" i="165"/>
  <c r="H20" i="165"/>
  <c r="P20" i="165"/>
  <c r="I20" i="165"/>
  <c r="Q20" i="165"/>
  <c r="J20" i="165"/>
  <c r="R20" i="165"/>
  <c r="M20" i="165"/>
  <c r="C20" i="165"/>
  <c r="K20" i="165"/>
  <c r="S20" i="165"/>
  <c r="D20" i="165"/>
  <c r="L20" i="165"/>
  <c r="T20" i="165"/>
  <c r="U20" i="165"/>
  <c r="F20" i="165"/>
  <c r="N20" i="165"/>
  <c r="G20" i="165"/>
  <c r="O20" i="165"/>
  <c r="E20" i="165"/>
  <c r="C41" i="158"/>
  <c r="D36" i="164"/>
  <c r="B77" i="164" s="1"/>
  <c r="B78" i="164" s="1"/>
  <c r="B79" i="164" s="1"/>
  <c r="C84" i="152"/>
  <c r="B36" i="162"/>
  <c r="R37" i="162" s="1"/>
  <c r="AI26" i="165"/>
  <c r="AI41" i="165" s="1"/>
  <c r="AG26" i="165"/>
  <c r="AG41" i="165" s="1"/>
  <c r="AS20" i="165"/>
  <c r="AH26" i="165"/>
  <c r="AH41" i="165" s="1"/>
  <c r="B75" i="157"/>
  <c r="D65" i="157"/>
  <c r="B76" i="157"/>
  <c r="AJ20" i="158"/>
  <c r="AJ26" i="158" s="1"/>
  <c r="B26" i="158"/>
  <c r="AG20" i="158"/>
  <c r="AI20" i="158"/>
  <c r="AI26" i="158" s="1"/>
  <c r="AI41" i="158" s="1"/>
  <c r="AH20" i="158"/>
  <c r="AH26" i="158" s="1"/>
  <c r="AH41" i="158" s="1"/>
  <c r="AW20" i="158"/>
  <c r="AW26" i="158" s="1"/>
  <c r="B66" i="157"/>
  <c r="B69" i="157"/>
  <c r="B67" i="157"/>
  <c r="B68" i="157"/>
  <c r="B81" i="157"/>
  <c r="N17" i="156"/>
  <c r="K26" i="158"/>
  <c r="K41" i="158" s="1"/>
  <c r="AV14" i="158"/>
  <c r="AX14" i="158" s="1"/>
  <c r="AV22" i="155"/>
  <c r="AX22" i="155" s="1"/>
  <c r="B76" i="160"/>
  <c r="D65" i="160"/>
  <c r="B75" i="160"/>
  <c r="AB20" i="155"/>
  <c r="AB26" i="155" s="1"/>
  <c r="AA20" i="155"/>
  <c r="AA26" i="155" s="1"/>
  <c r="AA41" i="155" s="1"/>
  <c r="Y20" i="155"/>
  <c r="Z20" i="155"/>
  <c r="Z26" i="155" s="1"/>
  <c r="Z41" i="155" s="1"/>
  <c r="AW20" i="155"/>
  <c r="B26" i="155"/>
  <c r="B28" i="155" s="1"/>
  <c r="B66" i="160"/>
  <c r="B68" i="160"/>
  <c r="B81" i="160"/>
  <c r="B69" i="160"/>
  <c r="B73" i="160" s="1"/>
  <c r="B67" i="160"/>
  <c r="AS16" i="165"/>
  <c r="B15" i="165"/>
  <c r="D49" i="164"/>
  <c r="AR7" i="165"/>
  <c r="AT7" i="165" s="1"/>
  <c r="AT5" i="165"/>
  <c r="AS14" i="165"/>
  <c r="AX15" i="155"/>
  <c r="L5" i="158"/>
  <c r="L6" i="158"/>
  <c r="M4" i="158"/>
  <c r="L7" i="158"/>
  <c r="C29" i="155"/>
  <c r="C41" i="155"/>
  <c r="B29" i="162"/>
  <c r="C42" i="162"/>
  <c r="AE23" i="159" s="1"/>
  <c r="C30" i="162"/>
  <c r="C30" i="158"/>
  <c r="C36" i="158"/>
  <c r="V16" i="162"/>
  <c r="D60" i="164" l="1"/>
  <c r="C61" i="164"/>
  <c r="B71" i="164" s="1"/>
  <c r="B72" i="164"/>
  <c r="M15" i="156"/>
  <c r="AT12" i="159"/>
  <c r="AT4" i="159" s="1"/>
  <c r="G16" i="156"/>
  <c r="I16" i="156"/>
  <c r="J16" i="156"/>
  <c r="C16" i="156"/>
  <c r="K16" i="156"/>
  <c r="H16" i="156"/>
  <c r="D16" i="156"/>
  <c r="L16" i="156"/>
  <c r="E16" i="156"/>
  <c r="F16" i="156"/>
  <c r="N16" i="156"/>
  <c r="O15" i="156"/>
  <c r="M25" i="165"/>
  <c r="I25" i="165"/>
  <c r="T25" i="165"/>
  <c r="R25" i="165"/>
  <c r="E25" i="165"/>
  <c r="S25" i="165"/>
  <c r="U25" i="165"/>
  <c r="Q25" i="165"/>
  <c r="C25" i="165"/>
  <c r="N25" i="165"/>
  <c r="F25" i="165"/>
  <c r="J25" i="165"/>
  <c r="G25" i="165"/>
  <c r="D25" i="165"/>
  <c r="L25" i="165"/>
  <c r="AS25" i="165"/>
  <c r="O25" i="165"/>
  <c r="K25" i="165"/>
  <c r="H25" i="165"/>
  <c r="P25" i="165"/>
  <c r="D63" i="153"/>
  <c r="B23" i="156"/>
  <c r="B26" i="165"/>
  <c r="E15" i="165"/>
  <c r="M15" i="165"/>
  <c r="U15" i="165"/>
  <c r="F15" i="165"/>
  <c r="N15" i="165"/>
  <c r="G15" i="165"/>
  <c r="O15" i="165"/>
  <c r="I15" i="165"/>
  <c r="Q15" i="165"/>
  <c r="J15" i="165"/>
  <c r="R15" i="165"/>
  <c r="H15" i="165"/>
  <c r="P15" i="165"/>
  <c r="C15" i="165"/>
  <c r="K15" i="165"/>
  <c r="S15" i="165"/>
  <c r="D15" i="165"/>
  <c r="L15" i="165"/>
  <c r="T15" i="165"/>
  <c r="J6" i="140"/>
  <c r="B84" i="164"/>
  <c r="B64" i="164"/>
  <c r="D38" i="153"/>
  <c r="B38" i="153" s="1"/>
  <c r="C60" i="153"/>
  <c r="C66" i="153" s="1"/>
  <c r="AR20" i="165"/>
  <c r="AT20" i="165" s="1"/>
  <c r="B88" i="157"/>
  <c r="B82" i="157"/>
  <c r="B83" i="157" s="1"/>
  <c r="C75" i="157"/>
  <c r="B31" i="158"/>
  <c r="B32" i="158" s="1"/>
  <c r="B95" i="157"/>
  <c r="B84" i="157"/>
  <c r="G62" i="157"/>
  <c r="B77" i="157"/>
  <c r="C77" i="157" s="1"/>
  <c r="G63" i="157"/>
  <c r="B73" i="157"/>
  <c r="AG26" i="158"/>
  <c r="AG41" i="158" s="1"/>
  <c r="AV20" i="158"/>
  <c r="AX20" i="158" s="1"/>
  <c r="B30" i="158"/>
  <c r="D29" i="158" s="1"/>
  <c r="C76" i="157"/>
  <c r="B85" i="157"/>
  <c r="AV20" i="155"/>
  <c r="AV26" i="155" s="1"/>
  <c r="Y26" i="155"/>
  <c r="Y41" i="155" s="1"/>
  <c r="B77" i="160"/>
  <c r="C77" i="160" s="1"/>
  <c r="B84" i="160"/>
  <c r="C75" i="160"/>
  <c r="B31" i="155"/>
  <c r="B32" i="155" s="1"/>
  <c r="G63" i="160"/>
  <c r="G62" i="160"/>
  <c r="B95" i="160"/>
  <c r="B74" i="160"/>
  <c r="C74" i="160" s="1"/>
  <c r="C73" i="160"/>
  <c r="AW26" i="155"/>
  <c r="B82" i="160"/>
  <c r="B83" i="160" s="1"/>
  <c r="B88" i="160"/>
  <c r="C76" i="160"/>
  <c r="B85" i="160"/>
  <c r="B30" i="155"/>
  <c r="B85" i="164"/>
  <c r="AR16" i="165"/>
  <c r="AT16" i="165" s="1"/>
  <c r="Y26" i="165"/>
  <c r="Y41" i="165" s="1"/>
  <c r="AD26" i="165"/>
  <c r="AD41" i="165" s="1"/>
  <c r="AF26" i="165"/>
  <c r="AF41" i="165" s="1"/>
  <c r="AA26" i="165"/>
  <c r="AA41" i="165" s="1"/>
  <c r="Z26" i="165"/>
  <c r="Z41" i="165" s="1"/>
  <c r="AE26" i="165"/>
  <c r="AE41" i="165" s="1"/>
  <c r="AB26" i="165"/>
  <c r="AB41" i="165" s="1"/>
  <c r="X26" i="165"/>
  <c r="X41" i="165" s="1"/>
  <c r="AC26" i="165"/>
  <c r="AC41" i="165" s="1"/>
  <c r="V26" i="165"/>
  <c r="V41" i="165" s="1"/>
  <c r="W26" i="165"/>
  <c r="W41" i="165" s="1"/>
  <c r="AS15" i="165"/>
  <c r="B63" i="164"/>
  <c r="B30" i="165"/>
  <c r="D61" i="164"/>
  <c r="B62" i="164"/>
  <c r="K6" i="140"/>
  <c r="B65" i="164"/>
  <c r="B69" i="164" s="1"/>
  <c r="N6" i="140" s="1"/>
  <c r="AR14" i="165"/>
  <c r="AT14" i="165" s="1"/>
  <c r="N4" i="158"/>
  <c r="M6" i="158"/>
  <c r="M7" i="158"/>
  <c r="M5" i="158"/>
  <c r="L26" i="158"/>
  <c r="L41" i="158" s="1"/>
  <c r="C30" i="155"/>
  <c r="C36" i="155"/>
  <c r="C31" i="162"/>
  <c r="D30" i="162" s="1"/>
  <c r="C37" i="162"/>
  <c r="AE12" i="159" s="1"/>
  <c r="B42" i="162"/>
  <c r="B43" i="162" s="1"/>
  <c r="B44" i="162" s="1"/>
  <c r="B100" i="152" s="1"/>
  <c r="C23" i="156" l="1"/>
  <c r="L23" i="156"/>
  <c r="N26" i="165"/>
  <c r="N41" i="165" s="1"/>
  <c r="N19" i="159" s="1"/>
  <c r="D66" i="153"/>
  <c r="B26" i="156"/>
  <c r="T26" i="165"/>
  <c r="T41" i="165" s="1"/>
  <c r="T19" i="159" s="1"/>
  <c r="C26" i="165"/>
  <c r="C41" i="165" s="1"/>
  <c r="C19" i="159" s="1"/>
  <c r="H26" i="165"/>
  <c r="H41" i="165" s="1"/>
  <c r="H19" i="159" s="1"/>
  <c r="F26" i="165"/>
  <c r="F41" i="165" s="1"/>
  <c r="F19" i="159" s="1"/>
  <c r="B27" i="165"/>
  <c r="P26" i="165"/>
  <c r="I26" i="165"/>
  <c r="I41" i="165" s="1"/>
  <c r="I19" i="159" s="1"/>
  <c r="K26" i="165"/>
  <c r="K41" i="165" s="1"/>
  <c r="K19" i="159" s="1"/>
  <c r="O26" i="165"/>
  <c r="R26" i="165"/>
  <c r="R41" i="165" s="1"/>
  <c r="R19" i="159" s="1"/>
  <c r="U26" i="165"/>
  <c r="L26" i="165"/>
  <c r="L41" i="165" s="1"/>
  <c r="L19" i="159" s="1"/>
  <c r="J26" i="165"/>
  <c r="J41" i="165" s="1"/>
  <c r="J19" i="159" s="1"/>
  <c r="M26" i="165"/>
  <c r="Q26" i="165"/>
  <c r="Q41" i="165" s="1"/>
  <c r="Q19" i="159" s="1"/>
  <c r="E26" i="165"/>
  <c r="E41" i="165" s="1"/>
  <c r="E19" i="159" s="1"/>
  <c r="D26" i="165"/>
  <c r="D41" i="165" s="1"/>
  <c r="D19" i="159" s="1"/>
  <c r="S26" i="165"/>
  <c r="G26" i="165"/>
  <c r="G41" i="165" s="1"/>
  <c r="G19" i="159" s="1"/>
  <c r="AR25" i="165"/>
  <c r="AT25" i="165" s="1"/>
  <c r="D37" i="162"/>
  <c r="AF12" i="159" s="1"/>
  <c r="B21" i="156"/>
  <c r="D60" i="153"/>
  <c r="N23" i="156"/>
  <c r="C29" i="165"/>
  <c r="G58" i="164"/>
  <c r="B31" i="165"/>
  <c r="B32" i="165" s="1"/>
  <c r="B40" i="165"/>
  <c r="C67" i="153"/>
  <c r="D41" i="153"/>
  <c r="AX20" i="155"/>
  <c r="D36" i="158"/>
  <c r="D30" i="158"/>
  <c r="E29" i="158" s="1"/>
  <c r="E30" i="158" s="1"/>
  <c r="F29" i="158" s="1"/>
  <c r="F36" i="158" s="1"/>
  <c r="B74" i="157"/>
  <c r="C74" i="157" s="1"/>
  <c r="C73" i="157"/>
  <c r="B27" i="158"/>
  <c r="D29" i="155"/>
  <c r="D30" i="155" s="1"/>
  <c r="E29" i="155" s="1"/>
  <c r="E36" i="155" s="1"/>
  <c r="B89" i="157"/>
  <c r="B86" i="157"/>
  <c r="B93" i="157" s="1"/>
  <c r="B35" i="158"/>
  <c r="AJ36" i="158" s="1"/>
  <c r="B89" i="160"/>
  <c r="B40" i="155"/>
  <c r="AB41" i="155" s="1"/>
  <c r="B35" i="155"/>
  <c r="AB36" i="155" s="1"/>
  <c r="B86" i="160"/>
  <c r="B93" i="160" s="1"/>
  <c r="AU41" i="155"/>
  <c r="AT41" i="155"/>
  <c r="AS41" i="155"/>
  <c r="M26" i="158"/>
  <c r="M41" i="158" s="1"/>
  <c r="AS26" i="165"/>
  <c r="AR15" i="165"/>
  <c r="B81" i="164"/>
  <c r="C72" i="164"/>
  <c r="L6" i="140"/>
  <c r="B70" i="164"/>
  <c r="C70" i="164" s="1"/>
  <c r="C69" i="164"/>
  <c r="B92" i="164"/>
  <c r="C71" i="164"/>
  <c r="G59" i="164"/>
  <c r="B73" i="164"/>
  <c r="B80" i="164"/>
  <c r="B35" i="165" s="1"/>
  <c r="U36" i="165" s="1"/>
  <c r="U8" i="159" s="1"/>
  <c r="M6" i="140"/>
  <c r="O4" i="158"/>
  <c r="N5" i="158"/>
  <c r="N6" i="158"/>
  <c r="N7" i="158"/>
  <c r="D31" i="162"/>
  <c r="E30" i="162" s="1"/>
  <c r="B27" i="156" l="1"/>
  <c r="I21" i="156"/>
  <c r="J21" i="156"/>
  <c r="C21" i="156"/>
  <c r="K21" i="156"/>
  <c r="D21" i="156"/>
  <c r="L21" i="156"/>
  <c r="H21" i="156"/>
  <c r="E21" i="156"/>
  <c r="F21" i="156"/>
  <c r="G21" i="156"/>
  <c r="F15" i="159"/>
  <c r="E26" i="156"/>
  <c r="G26" i="156"/>
  <c r="I26" i="156"/>
  <c r="J26" i="156"/>
  <c r="H26" i="156"/>
  <c r="C26" i="156"/>
  <c r="K26" i="156"/>
  <c r="F26" i="156"/>
  <c r="D26" i="156"/>
  <c r="L26" i="156"/>
  <c r="D42" i="153"/>
  <c r="J9" i="140" s="1"/>
  <c r="N26" i="156"/>
  <c r="P41" i="165"/>
  <c r="P19" i="159" s="1"/>
  <c r="AR26" i="165"/>
  <c r="U41" i="165"/>
  <c r="U19" i="159" s="1"/>
  <c r="D15" i="159"/>
  <c r="D67" i="153"/>
  <c r="K9" i="140"/>
  <c r="C15" i="159"/>
  <c r="E15" i="159"/>
  <c r="M41" i="165"/>
  <c r="M19" i="159" s="1"/>
  <c r="O41" i="165"/>
  <c r="O19" i="159" s="1"/>
  <c r="C30" i="165"/>
  <c r="D29" i="165" s="1"/>
  <c r="S41" i="165"/>
  <c r="S19" i="159" s="1"/>
  <c r="E37" i="162"/>
  <c r="AG12" i="159" s="1"/>
  <c r="N21" i="156"/>
  <c r="M23" i="156"/>
  <c r="O23" i="156" s="1"/>
  <c r="C36" i="165"/>
  <c r="C8" i="159" s="1"/>
  <c r="C4" i="159" s="1"/>
  <c r="E36" i="158"/>
  <c r="B68" i="153"/>
  <c r="F30" i="158"/>
  <c r="G29" i="158" s="1"/>
  <c r="G30" i="158" s="1"/>
  <c r="H29" i="158" s="1"/>
  <c r="H36" i="158" s="1"/>
  <c r="E30" i="155"/>
  <c r="F29" i="155" s="1"/>
  <c r="F30" i="155" s="1"/>
  <c r="G29" i="155" s="1"/>
  <c r="D36" i="155"/>
  <c r="B28" i="158"/>
  <c r="B40" i="158"/>
  <c r="AJ41" i="158" s="1"/>
  <c r="B41" i="155"/>
  <c r="B42" i="155" s="1"/>
  <c r="B43" i="155" s="1"/>
  <c r="C73" i="164"/>
  <c r="AT15" i="165"/>
  <c r="AJ36" i="165"/>
  <c r="B82" i="164"/>
  <c r="B89" i="164" s="1"/>
  <c r="O6" i="158"/>
  <c r="O7" i="158"/>
  <c r="P4" i="158"/>
  <c r="O5" i="158"/>
  <c r="N26" i="158"/>
  <c r="N41" i="158" s="1"/>
  <c r="AV4" i="158"/>
  <c r="E31" i="162"/>
  <c r="F30" i="162" s="1"/>
  <c r="M21" i="156" l="1"/>
  <c r="L27" i="156"/>
  <c r="B69" i="153"/>
  <c r="C27" i="156"/>
  <c r="C42" i="156" s="1"/>
  <c r="S22" i="159" s="1"/>
  <c r="B70" i="153"/>
  <c r="B83" i="153"/>
  <c r="B90" i="153" s="1"/>
  <c r="B71" i="153"/>
  <c r="B75" i="153" s="1"/>
  <c r="N9" i="140" s="1"/>
  <c r="N27" i="156"/>
  <c r="D27" i="156"/>
  <c r="D36" i="165"/>
  <c r="D8" i="159" s="1"/>
  <c r="D4" i="159" s="1"/>
  <c r="D30" i="165"/>
  <c r="E29" i="165" s="1"/>
  <c r="F37" i="162"/>
  <c r="AH12" i="159" s="1"/>
  <c r="O21" i="156"/>
  <c r="F36" i="155"/>
  <c r="G36" i="158"/>
  <c r="H30" i="158"/>
  <c r="I29" i="158" s="1"/>
  <c r="I36" i="158" s="1"/>
  <c r="O26" i="158"/>
  <c r="O41" i="158" s="1"/>
  <c r="P5" i="158"/>
  <c r="P6" i="158"/>
  <c r="AV6" i="158" s="1"/>
  <c r="AX6" i="158" s="1"/>
  <c r="P7" i="158"/>
  <c r="AV7" i="158" s="1"/>
  <c r="AX7" i="158" s="1"/>
  <c r="F31" i="162"/>
  <c r="G30" i="162" s="1"/>
  <c r="G36" i="155"/>
  <c r="G30" i="155"/>
  <c r="H29" i="155" s="1"/>
  <c r="H36" i="155" s="1"/>
  <c r="B84" i="153" l="1"/>
  <c r="B85" i="153" s="1"/>
  <c r="B91" i="153" s="1"/>
  <c r="C30" i="156"/>
  <c r="C37" i="156" s="1"/>
  <c r="S11" i="159" s="1"/>
  <c r="B28" i="156"/>
  <c r="B29" i="156" s="1"/>
  <c r="B76" i="153"/>
  <c r="C76" i="153" s="1"/>
  <c r="D42" i="156"/>
  <c r="T22" i="159" s="1"/>
  <c r="E27" i="156"/>
  <c r="E36" i="165"/>
  <c r="E8" i="159" s="1"/>
  <c r="E4" i="159" s="1"/>
  <c r="E30" i="165"/>
  <c r="F29" i="165" s="1"/>
  <c r="F36" i="165" s="1"/>
  <c r="F8" i="159" s="1"/>
  <c r="G37" i="162"/>
  <c r="AI12" i="159" s="1"/>
  <c r="I30" i="158"/>
  <c r="J29" i="158" s="1"/>
  <c r="J30" i="158" s="1"/>
  <c r="K29" i="158" s="1"/>
  <c r="K36" i="158" s="1"/>
  <c r="H30" i="155"/>
  <c r="I29" i="155" s="1"/>
  <c r="I36" i="155" s="1"/>
  <c r="M6" i="156"/>
  <c r="M8" i="156"/>
  <c r="O8" i="156" s="1"/>
  <c r="M7" i="156"/>
  <c r="O7" i="156" s="1"/>
  <c r="M17" i="156"/>
  <c r="O17" i="156" s="1"/>
  <c r="M5" i="156"/>
  <c r="P26" i="158"/>
  <c r="P41" i="158" s="1"/>
  <c r="AV5" i="158"/>
  <c r="G31" i="162"/>
  <c r="H30" i="162" s="1"/>
  <c r="B28" i="165"/>
  <c r="AJ41" i="165"/>
  <c r="AJ19" i="159" s="1"/>
  <c r="B78" i="153" l="1"/>
  <c r="B87" i="153" s="1"/>
  <c r="B41" i="156"/>
  <c r="C31" i="156"/>
  <c r="B77" i="153"/>
  <c r="C77" i="153" s="1"/>
  <c r="E42" i="156"/>
  <c r="U22" i="159" s="1"/>
  <c r="F27" i="156"/>
  <c r="F4" i="159"/>
  <c r="F30" i="165"/>
  <c r="G29" i="165" s="1"/>
  <c r="H37" i="162"/>
  <c r="AJ12" i="159" s="1"/>
  <c r="L42" i="156"/>
  <c r="AB22" i="159" s="1"/>
  <c r="K30" i="158"/>
  <c r="L29" i="158" s="1"/>
  <c r="L36" i="158" s="1"/>
  <c r="J36" i="158"/>
  <c r="G64" i="153"/>
  <c r="G65" i="153"/>
  <c r="I30" i="155"/>
  <c r="J29" i="155" s="1"/>
  <c r="J36" i="155" s="1"/>
  <c r="O6" i="156"/>
  <c r="M16" i="156"/>
  <c r="O16" i="156" s="1"/>
  <c r="B41" i="158"/>
  <c r="B42" i="158" s="1"/>
  <c r="B43" i="158" s="1"/>
  <c r="AX5" i="158"/>
  <c r="AV26" i="158"/>
  <c r="H31" i="162"/>
  <c r="I30" i="162" s="1"/>
  <c r="B41" i="165"/>
  <c r="B31" i="156" l="1"/>
  <c r="L9" i="140"/>
  <c r="C78" i="153"/>
  <c r="B79" i="153"/>
  <c r="C79" i="153" s="1"/>
  <c r="M9" i="140"/>
  <c r="B32" i="156"/>
  <c r="B33" i="156" s="1"/>
  <c r="B97" i="153"/>
  <c r="B86" i="153"/>
  <c r="B88" i="153" s="1"/>
  <c r="B94" i="153" s="1"/>
  <c r="F42" i="156"/>
  <c r="V22" i="159" s="1"/>
  <c r="G27" i="156"/>
  <c r="B42" i="165"/>
  <c r="B43" i="165" s="1"/>
  <c r="B91" i="164" s="1"/>
  <c r="G36" i="165"/>
  <c r="G8" i="159" s="1"/>
  <c r="G30" i="165"/>
  <c r="H29" i="165" s="1"/>
  <c r="I37" i="162"/>
  <c r="AK12" i="159" s="1"/>
  <c r="L30" i="158"/>
  <c r="M29" i="158" s="1"/>
  <c r="M36" i="158" s="1"/>
  <c r="D30" i="156"/>
  <c r="J30" i="155"/>
  <c r="K29" i="155" s="1"/>
  <c r="K36" i="155" s="1"/>
  <c r="I31" i="162"/>
  <c r="J30" i="162" s="1"/>
  <c r="B36" i="156" l="1"/>
  <c r="L37" i="156" s="1"/>
  <c r="AB11" i="159" s="1"/>
  <c r="G42" i="156"/>
  <c r="W22" i="159" s="1"/>
  <c r="H27" i="156"/>
  <c r="H36" i="165"/>
  <c r="H8" i="159" s="1"/>
  <c r="H30" i="165"/>
  <c r="I29" i="165" s="1"/>
  <c r="I30" i="165" s="1"/>
  <c r="J29" i="165" s="1"/>
  <c r="J37" i="162"/>
  <c r="AL12" i="159" s="1"/>
  <c r="M30" i="158"/>
  <c r="N29" i="158" s="1"/>
  <c r="N36" i="158" s="1"/>
  <c r="D31" i="156"/>
  <c r="E30" i="156" s="1"/>
  <c r="D37" i="156"/>
  <c r="T11" i="159" s="1"/>
  <c r="K30" i="155"/>
  <c r="L29" i="155" s="1"/>
  <c r="L36" i="155" s="1"/>
  <c r="J31" i="162"/>
  <c r="K30" i="162" s="1"/>
  <c r="H42" i="156" l="1"/>
  <c r="X22" i="159" s="1"/>
  <c r="I27" i="156"/>
  <c r="I36" i="165"/>
  <c r="I8" i="159" s="1"/>
  <c r="K37" i="162"/>
  <c r="AM12" i="159" s="1"/>
  <c r="J36" i="165"/>
  <c r="J8" i="159" s="1"/>
  <c r="N30" i="158"/>
  <c r="O29" i="158" s="1"/>
  <c r="O36" i="158" s="1"/>
  <c r="E37" i="156"/>
  <c r="U11" i="159" s="1"/>
  <c r="E31" i="156"/>
  <c r="F30" i="156" s="1"/>
  <c r="J30" i="165"/>
  <c r="K29" i="165" s="1"/>
  <c r="L30" i="155"/>
  <c r="M29" i="155" s="1"/>
  <c r="M30" i="155" s="1"/>
  <c r="N29" i="155" s="1"/>
  <c r="K31" i="162"/>
  <c r="L30" i="162" s="1"/>
  <c r="I42" i="156" l="1"/>
  <c r="Y22" i="159" s="1"/>
  <c r="J27" i="156"/>
  <c r="L37" i="162"/>
  <c r="AN12" i="159" s="1"/>
  <c r="K30" i="165"/>
  <c r="L29" i="165" s="1"/>
  <c r="O30" i="158"/>
  <c r="P29" i="158" s="1"/>
  <c r="P36" i="158" s="1"/>
  <c r="F31" i="156"/>
  <c r="G30" i="156" s="1"/>
  <c r="F37" i="156"/>
  <c r="V11" i="159" s="1"/>
  <c r="K36" i="165"/>
  <c r="K8" i="159" s="1"/>
  <c r="M36" i="155"/>
  <c r="L31" i="162"/>
  <c r="M30" i="162" s="1"/>
  <c r="N36" i="155"/>
  <c r="N30" i="155"/>
  <c r="O29" i="155" s="1"/>
  <c r="J42" i="156" l="1"/>
  <c r="Z22" i="159" s="1"/>
  <c r="K27" i="156"/>
  <c r="M26" i="156"/>
  <c r="M37" i="162"/>
  <c r="AO12" i="159" s="1"/>
  <c r="L36" i="165"/>
  <c r="L8" i="159" s="1"/>
  <c r="L30" i="165"/>
  <c r="M29" i="165" s="1"/>
  <c r="P30" i="158"/>
  <c r="Q29" i="158" s="1"/>
  <c r="Q36" i="158" s="1"/>
  <c r="G37" i="156"/>
  <c r="W11" i="159" s="1"/>
  <c r="G31" i="156"/>
  <c r="H30" i="156" s="1"/>
  <c r="M31" i="162"/>
  <c r="N30" i="162" s="1"/>
  <c r="O36" i="155"/>
  <c r="O30" i="155"/>
  <c r="P29" i="155" s="1"/>
  <c r="P36" i="155" s="1"/>
  <c r="O26" i="156" l="1"/>
  <c r="M27" i="156"/>
  <c r="K42" i="156"/>
  <c r="AA22" i="159" s="1"/>
  <c r="M36" i="165"/>
  <c r="M8" i="159" s="1"/>
  <c r="N37" i="162"/>
  <c r="AP12" i="159" s="1"/>
  <c r="M30" i="165"/>
  <c r="N29" i="165" s="1"/>
  <c r="H37" i="156"/>
  <c r="X11" i="159" s="1"/>
  <c r="Q30" i="158"/>
  <c r="R29" i="158" s="1"/>
  <c r="R36" i="158" s="1"/>
  <c r="H31" i="156"/>
  <c r="I30" i="156" s="1"/>
  <c r="N31" i="162"/>
  <c r="O30" i="162" s="1"/>
  <c r="P30" i="155"/>
  <c r="Q29" i="155" s="1"/>
  <c r="Q36" i="155" s="1"/>
  <c r="B42" i="156" l="1"/>
  <c r="B43" i="156" s="1"/>
  <c r="B44" i="156" s="1"/>
  <c r="B95" i="153" s="1"/>
  <c r="N36" i="165"/>
  <c r="N8" i="159" s="1"/>
  <c r="N30" i="165"/>
  <c r="O29" i="165" s="1"/>
  <c r="O37" i="162"/>
  <c r="AQ12" i="159" s="1"/>
  <c r="AQ4" i="159" s="1"/>
  <c r="R30" i="158"/>
  <c r="S29" i="158" s="1"/>
  <c r="S36" i="158" s="1"/>
  <c r="I31" i="156"/>
  <c r="J30" i="156" s="1"/>
  <c r="I37" i="156"/>
  <c r="Y11" i="159" s="1"/>
  <c r="O31" i="162"/>
  <c r="P30" i="162" s="1"/>
  <c r="Q30" i="155"/>
  <c r="R29" i="155" s="1"/>
  <c r="R36" i="155" s="1"/>
  <c r="O36" i="165" l="1"/>
  <c r="O8" i="159" s="1"/>
  <c r="P37" i="162"/>
  <c r="AR12" i="159" s="1"/>
  <c r="AR4" i="159" s="1"/>
  <c r="O30" i="165"/>
  <c r="P29" i="165" s="1"/>
  <c r="P36" i="165" s="1"/>
  <c r="P8" i="159" s="1"/>
  <c r="S30" i="158"/>
  <c r="T29" i="158" s="1"/>
  <c r="T36" i="158" s="1"/>
  <c r="J37" i="156"/>
  <c r="Z11" i="159" s="1"/>
  <c r="J31" i="156"/>
  <c r="K30" i="156" s="1"/>
  <c r="P31" i="162"/>
  <c r="Q30" i="162" s="1"/>
  <c r="R30" i="155"/>
  <c r="S29" i="155" s="1"/>
  <c r="S36" i="155" s="1"/>
  <c r="P30" i="165" l="1"/>
  <c r="Q29" i="165" s="1"/>
  <c r="Q30" i="165" s="1"/>
  <c r="R29" i="165" s="1"/>
  <c r="Q37" i="162"/>
  <c r="AS12" i="159" s="1"/>
  <c r="AS4" i="159" s="1"/>
  <c r="T30" i="158"/>
  <c r="U29" i="158" s="1"/>
  <c r="U36" i="158" s="1"/>
  <c r="K37" i="156"/>
  <c r="K31" i="156"/>
  <c r="L30" i="156" s="1"/>
  <c r="Q31" i="162"/>
  <c r="R30" i="162" s="1"/>
  <c r="S30" i="155"/>
  <c r="T29" i="155" s="1"/>
  <c r="T30" i="155" s="1"/>
  <c r="U29" i="155" s="1"/>
  <c r="B37" i="156" l="1"/>
  <c r="B38" i="156" s="1"/>
  <c r="AA11" i="159"/>
  <c r="B37" i="162"/>
  <c r="R30" i="165"/>
  <c r="S29" i="165" s="1"/>
  <c r="S36" i="165" s="1"/>
  <c r="S8" i="159" s="1"/>
  <c r="R36" i="165"/>
  <c r="R8" i="159" s="1"/>
  <c r="Q36" i="165"/>
  <c r="Q8" i="159" s="1"/>
  <c r="U30" i="158"/>
  <c r="V29" i="158" s="1"/>
  <c r="V30" i="158" s="1"/>
  <c r="W29" i="158" s="1"/>
  <c r="L31" i="156"/>
  <c r="T36" i="155"/>
  <c r="R31" i="162"/>
  <c r="S30" i="162" s="1"/>
  <c r="S31" i="162" s="1"/>
  <c r="U36" i="155"/>
  <c r="U30" i="155"/>
  <c r="V29" i="155" s="1"/>
  <c r="V36" i="155" s="1"/>
  <c r="B38" i="162" l="1"/>
  <c r="B39" i="162" s="1"/>
  <c r="B101" i="152" s="1"/>
  <c r="O10" i="140" s="1"/>
  <c r="S30" i="165"/>
  <c r="T29" i="165" s="1"/>
  <c r="V36" i="158"/>
  <c r="B30" i="162"/>
  <c r="V30" i="155"/>
  <c r="W29" i="155" s="1"/>
  <c r="W36" i="158"/>
  <c r="W30" i="158"/>
  <c r="X29" i="158" s="1"/>
  <c r="T36" i="165" l="1"/>
  <c r="T30" i="165"/>
  <c r="U29" i="165" s="1"/>
  <c r="W30" i="155"/>
  <c r="X29" i="155" s="1"/>
  <c r="W36" i="155"/>
  <c r="X36" i="158"/>
  <c r="X30" i="158"/>
  <c r="Y29" i="158" s="1"/>
  <c r="B36" i="165" l="1"/>
  <c r="B37" i="165" s="1"/>
  <c r="T8" i="159"/>
  <c r="B29" i="165"/>
  <c r="U30" i="165"/>
  <c r="X36" i="155"/>
  <c r="X30" i="155"/>
  <c r="Y29" i="155" s="1"/>
  <c r="Y36" i="155" s="1"/>
  <c r="Y36" i="158"/>
  <c r="Y30" i="158"/>
  <c r="Z29" i="158" s="1"/>
  <c r="Y30" i="155" l="1"/>
  <c r="Z29" i="155" s="1"/>
  <c r="Z36" i="158"/>
  <c r="Z30" i="158"/>
  <c r="AA29" i="158" s="1"/>
  <c r="V29" i="165" l="1"/>
  <c r="V36" i="165" s="1"/>
  <c r="Z36" i="155"/>
  <c r="Z30" i="155"/>
  <c r="AA29" i="155" s="1"/>
  <c r="AA36" i="155" s="1"/>
  <c r="AA36" i="158"/>
  <c r="AA30" i="158"/>
  <c r="AB29" i="158" s="1"/>
  <c r="V30" i="165" l="1"/>
  <c r="W29" i="165" s="1"/>
  <c r="W36" i="165" s="1"/>
  <c r="AA30" i="155"/>
  <c r="AB29" i="155" s="1"/>
  <c r="B29" i="155" s="1"/>
  <c r="B36" i="155"/>
  <c r="B37" i="155" s="1"/>
  <c r="B38" i="155" s="1"/>
  <c r="AB36" i="158"/>
  <c r="AB30" i="158"/>
  <c r="AC29" i="158" s="1"/>
  <c r="W30" i="165" l="1"/>
  <c r="X29" i="165" s="1"/>
  <c r="AB30" i="155"/>
  <c r="AC36" i="158"/>
  <c r="AC30" i="158"/>
  <c r="AD29" i="158" s="1"/>
  <c r="X36" i="165" l="1"/>
  <c r="X30" i="165"/>
  <c r="Y29" i="165" s="1"/>
  <c r="Y36" i="165" s="1"/>
  <c r="AD36" i="158"/>
  <c r="AD30" i="158"/>
  <c r="AE29" i="158" s="1"/>
  <c r="Y30" i="165" l="1"/>
  <c r="Z29" i="165" s="1"/>
  <c r="Z36" i="165" s="1"/>
  <c r="AE36" i="158"/>
  <c r="AE30" i="158"/>
  <c r="AF29" i="158" s="1"/>
  <c r="Z30" i="165" l="1"/>
  <c r="AA29" i="165" s="1"/>
  <c r="AF36" i="158"/>
  <c r="AF30" i="158"/>
  <c r="AG29" i="158" s="1"/>
  <c r="AA36" i="165" l="1"/>
  <c r="AA30" i="165"/>
  <c r="AB29" i="165" s="1"/>
  <c r="AG36" i="158"/>
  <c r="AG30" i="158"/>
  <c r="AH29" i="158" s="1"/>
  <c r="AB30" i="165" l="1"/>
  <c r="AC29" i="165" s="1"/>
  <c r="AC36" i="165" s="1"/>
  <c r="AB36" i="165"/>
  <c r="AH36" i="158"/>
  <c r="AH30" i="158"/>
  <c r="AI29" i="158" s="1"/>
  <c r="AC30" i="165" l="1"/>
  <c r="AD29" i="165" s="1"/>
  <c r="AD36" i="165" s="1"/>
  <c r="AI36" i="158"/>
  <c r="B36" i="158" s="1"/>
  <c r="B37" i="158" s="1"/>
  <c r="B38" i="158" s="1"/>
  <c r="AI30" i="158"/>
  <c r="AJ29" i="158" s="1"/>
  <c r="AD30" i="165" l="1"/>
  <c r="AE29" i="165" s="1"/>
  <c r="AE36" i="165" s="1"/>
  <c r="AJ30" i="158"/>
  <c r="B29" i="158"/>
  <c r="B94" i="157"/>
  <c r="B94" i="160"/>
  <c r="AE30" i="165" l="1"/>
  <c r="AF29" i="165" s="1"/>
  <c r="AF36" i="165" s="1"/>
  <c r="AF30" i="165" l="1"/>
  <c r="AG29" i="165" s="1"/>
  <c r="AG36" i="165" s="1"/>
  <c r="B30" i="156" l="1"/>
  <c r="AG30" i="165"/>
  <c r="AH29" i="165" s="1"/>
  <c r="AH36" i="165" s="1"/>
  <c r="B39" i="156" l="1"/>
  <c r="B96" i="153" s="1"/>
  <c r="O9" i="140" s="1"/>
  <c r="AH30" i="165"/>
  <c r="AI29" i="165" s="1"/>
  <c r="AI36" i="165" s="1"/>
  <c r="AI30" i="165" l="1"/>
  <c r="AJ29" i="165" s="1"/>
  <c r="B38" i="165"/>
  <c r="B90" i="164" s="1"/>
  <c r="AJ30" i="165" l="1"/>
  <c r="D49" i="150" l="1"/>
  <c r="D62" i="150"/>
  <c r="D54" i="150"/>
  <c r="B30" i="150" l="1"/>
  <c r="B31" i="150" s="1"/>
  <c r="D50" i="150"/>
  <c r="B19" i="154"/>
  <c r="B11" i="154"/>
  <c r="C11" i="154" s="1"/>
  <c r="C51" i="150"/>
  <c r="B6" i="154"/>
  <c r="D36" i="150"/>
  <c r="D44" i="150" s="1"/>
  <c r="C59" i="150" l="1"/>
  <c r="D59" i="150" s="1"/>
  <c r="C64" i="150"/>
  <c r="D64" i="150" s="1"/>
  <c r="D58" i="150"/>
  <c r="D51" i="150"/>
  <c r="H19" i="154"/>
  <c r="P19" i="154"/>
  <c r="E19" i="154"/>
  <c r="I19" i="154"/>
  <c r="M19" i="154"/>
  <c r="J19" i="154"/>
  <c r="C19" i="154"/>
  <c r="K19" i="154"/>
  <c r="D19" i="154"/>
  <c r="L19" i="154"/>
  <c r="F19" i="154"/>
  <c r="N19" i="154"/>
  <c r="G19" i="154"/>
  <c r="O19" i="154"/>
  <c r="F6" i="154"/>
  <c r="N6" i="154"/>
  <c r="G6" i="154"/>
  <c r="O6" i="154"/>
  <c r="H6" i="154"/>
  <c r="P6" i="154"/>
  <c r="I6" i="154"/>
  <c r="C6" i="154"/>
  <c r="J6" i="154"/>
  <c r="K6" i="154"/>
  <c r="D6" i="154"/>
  <c r="L6" i="154"/>
  <c r="E6" i="154"/>
  <c r="M6" i="154"/>
  <c r="B7" i="154"/>
  <c r="AW11" i="154"/>
  <c r="AV11" i="154"/>
  <c r="W11" i="172"/>
  <c r="X11" i="172"/>
  <c r="B8" i="154"/>
  <c r="AW19" i="154"/>
  <c r="AW6" i="154"/>
  <c r="D41" i="150"/>
  <c r="X6" i="172"/>
  <c r="X19" i="172"/>
  <c r="C70" i="150" l="1"/>
  <c r="B44" i="150"/>
  <c r="C44" i="150"/>
  <c r="B15" i="154"/>
  <c r="M15" i="154" s="1"/>
  <c r="B17" i="154"/>
  <c r="D17" i="154" s="1"/>
  <c r="D60" i="150"/>
  <c r="H7" i="154"/>
  <c r="P7" i="154"/>
  <c r="I7" i="154"/>
  <c r="M7" i="154"/>
  <c r="J7" i="154"/>
  <c r="E7" i="154"/>
  <c r="C7" i="154"/>
  <c r="K7" i="154"/>
  <c r="D7" i="154"/>
  <c r="L7" i="154"/>
  <c r="F7" i="154"/>
  <c r="N7" i="154"/>
  <c r="G7" i="154"/>
  <c r="O7" i="154"/>
  <c r="J8" i="154"/>
  <c r="O8" i="154"/>
  <c r="C8" i="154"/>
  <c r="K8" i="154"/>
  <c r="D8" i="154"/>
  <c r="L8" i="154"/>
  <c r="E8" i="154"/>
  <c r="M8" i="154"/>
  <c r="G8" i="154"/>
  <c r="F8" i="154"/>
  <c r="N8" i="154"/>
  <c r="H8" i="154"/>
  <c r="P8" i="154"/>
  <c r="I8" i="154"/>
  <c r="D12" i="140"/>
  <c r="B16" i="154"/>
  <c r="Y11" i="172"/>
  <c r="X7" i="172"/>
  <c r="AW7" i="154"/>
  <c r="AV19" i="154"/>
  <c r="AX19" i="154" s="1"/>
  <c r="W6" i="172"/>
  <c r="Y6" i="172" s="1"/>
  <c r="AW8" i="154"/>
  <c r="D65" i="150"/>
  <c r="X15" i="172"/>
  <c r="X8" i="172"/>
  <c r="AV6" i="154"/>
  <c r="AX6" i="154" s="1"/>
  <c r="X17" i="172"/>
  <c r="W19" i="172"/>
  <c r="Y19" i="172" s="1"/>
  <c r="AX11" i="154"/>
  <c r="D70" i="150" l="1"/>
  <c r="B26" i="154"/>
  <c r="L15" i="154"/>
  <c r="N15" i="154"/>
  <c r="E15" i="154"/>
  <c r="P15" i="154"/>
  <c r="I15" i="154"/>
  <c r="H15" i="154"/>
  <c r="N17" i="154"/>
  <c r="F17" i="154"/>
  <c r="K17" i="154"/>
  <c r="O15" i="154"/>
  <c r="J17" i="154"/>
  <c r="M17" i="154"/>
  <c r="O17" i="154"/>
  <c r="G17" i="154"/>
  <c r="D15" i="154"/>
  <c r="K15" i="154"/>
  <c r="C17" i="154"/>
  <c r="C15" i="154"/>
  <c r="G15" i="154"/>
  <c r="J15" i="154"/>
  <c r="I17" i="154"/>
  <c r="E17" i="154"/>
  <c r="P17" i="154"/>
  <c r="AW17" i="154"/>
  <c r="L17" i="154"/>
  <c r="AW15" i="154"/>
  <c r="F15" i="154"/>
  <c r="H17" i="154"/>
  <c r="J16" i="154"/>
  <c r="O16" i="154"/>
  <c r="C16" i="154"/>
  <c r="K16" i="154"/>
  <c r="G16" i="154"/>
  <c r="D16" i="154"/>
  <c r="L16" i="154"/>
  <c r="E16" i="154"/>
  <c r="M16" i="154"/>
  <c r="F16" i="154"/>
  <c r="N16" i="154"/>
  <c r="H16" i="154"/>
  <c r="P16" i="154"/>
  <c r="I16" i="154"/>
  <c r="AW16" i="154"/>
  <c r="R27" i="172"/>
  <c r="L27" i="172"/>
  <c r="R27" i="154"/>
  <c r="Q27" i="154"/>
  <c r="Q42" i="154" s="1"/>
  <c r="K27" i="172"/>
  <c r="X27" i="154"/>
  <c r="S27" i="154"/>
  <c r="S42" i="154" s="1"/>
  <c r="Q27" i="172"/>
  <c r="G27" i="172"/>
  <c r="P27" i="172"/>
  <c r="S27" i="172"/>
  <c r="N27" i="172"/>
  <c r="M27" i="172"/>
  <c r="E27" i="172"/>
  <c r="T27" i="172"/>
  <c r="X16" i="172"/>
  <c r="F27" i="172"/>
  <c r="O27" i="172"/>
  <c r="W27" i="154"/>
  <c r="W42" i="154" s="1"/>
  <c r="W7" i="172"/>
  <c r="Y7" i="172" s="1"/>
  <c r="J27" i="172"/>
  <c r="AV7" i="154"/>
  <c r="AX7" i="154" s="1"/>
  <c r="D27" i="172"/>
  <c r="I27" i="172"/>
  <c r="H27" i="172"/>
  <c r="T27" i="154"/>
  <c r="T42" i="154" s="1"/>
  <c r="B21" i="154"/>
  <c r="W17" i="172"/>
  <c r="Y17" i="172" s="1"/>
  <c r="W8" i="172"/>
  <c r="Y8" i="172" s="1"/>
  <c r="AV8" i="154"/>
  <c r="AX8" i="154" s="1"/>
  <c r="C27" i="172"/>
  <c r="W15" i="172"/>
  <c r="Y15" i="172" s="1"/>
  <c r="J26" i="154" l="1"/>
  <c r="L26" i="154"/>
  <c r="I26" i="154"/>
  <c r="E26" i="154"/>
  <c r="P26" i="154"/>
  <c r="F26" i="154"/>
  <c r="O26" i="154"/>
  <c r="G26" i="154"/>
  <c r="D26" i="154"/>
  <c r="H26" i="154"/>
  <c r="AW26" i="154"/>
  <c r="K26" i="154"/>
  <c r="M26" i="154"/>
  <c r="C26" i="154"/>
  <c r="N26" i="154"/>
  <c r="F42" i="172"/>
  <c r="Z24" i="159" s="1"/>
  <c r="R42" i="172"/>
  <c r="AL24" i="159" s="1"/>
  <c r="AL15" i="159" s="1"/>
  <c r="I42" i="172"/>
  <c r="AC24" i="159" s="1"/>
  <c r="Q42" i="172"/>
  <c r="AK24" i="159" s="1"/>
  <c r="AK15" i="159" s="1"/>
  <c r="P42" i="172"/>
  <c r="AJ24" i="159" s="1"/>
  <c r="AJ15" i="159"/>
  <c r="L42" i="172"/>
  <c r="AF24" i="159" s="1"/>
  <c r="D42" i="172"/>
  <c r="X24" i="159" s="1"/>
  <c r="T42" i="172"/>
  <c r="AN24" i="159" s="1"/>
  <c r="AN15" i="159" s="1"/>
  <c r="E42" i="172"/>
  <c r="Y24" i="159" s="1"/>
  <c r="O42" i="172"/>
  <c r="AI24" i="159" s="1"/>
  <c r="AI15" i="159" s="1"/>
  <c r="H42" i="172"/>
  <c r="AB24" i="159" s="1"/>
  <c r="J42" i="172"/>
  <c r="AD24" i="159" s="1"/>
  <c r="M42" i="172"/>
  <c r="AG24" i="159" s="1"/>
  <c r="AG15" i="159" s="1"/>
  <c r="K42" i="172"/>
  <c r="AE24" i="159" s="1"/>
  <c r="N42" i="172"/>
  <c r="AH24" i="159" s="1"/>
  <c r="G42" i="172"/>
  <c r="AA24" i="159" s="1"/>
  <c r="S42" i="172"/>
  <c r="AM24" i="159" s="1"/>
  <c r="AM15" i="159" s="1"/>
  <c r="AV17" i="154"/>
  <c r="AX17" i="154" s="1"/>
  <c r="AV15" i="154"/>
  <c r="AX15" i="154" s="1"/>
  <c r="E21" i="154"/>
  <c r="M21" i="154"/>
  <c r="F21" i="154"/>
  <c r="N21" i="154"/>
  <c r="G21" i="154"/>
  <c r="O21" i="154"/>
  <c r="H21" i="154"/>
  <c r="P21" i="154"/>
  <c r="P27" i="154" s="1"/>
  <c r="J21" i="154"/>
  <c r="I21" i="154"/>
  <c r="C21" i="154"/>
  <c r="K21" i="154"/>
  <c r="D21" i="154"/>
  <c r="D27" i="154" s="1"/>
  <c r="L21" i="154"/>
  <c r="AV16" i="154"/>
  <c r="AX16" i="154" s="1"/>
  <c r="W16" i="172"/>
  <c r="Y16" i="172" s="1"/>
  <c r="C42" i="172"/>
  <c r="W24" i="159" s="1"/>
  <c r="C30" i="172"/>
  <c r="V27" i="154"/>
  <c r="V42" i="154" s="1"/>
  <c r="AW21" i="154"/>
  <c r="V27" i="172"/>
  <c r="B27" i="172"/>
  <c r="F27" i="154" l="1"/>
  <c r="F42" i="154" s="1"/>
  <c r="V20" i="159" s="1"/>
  <c r="E27" i="154"/>
  <c r="E42" i="154" s="1"/>
  <c r="U20" i="159" s="1"/>
  <c r="O27" i="154"/>
  <c r="O42" i="154" s="1"/>
  <c r="AE20" i="159" s="1"/>
  <c r="G27" i="154"/>
  <c r="G42" i="154" s="1"/>
  <c r="W20" i="159" s="1"/>
  <c r="N27" i="154"/>
  <c r="N42" i="154" s="1"/>
  <c r="AD20" i="159" s="1"/>
  <c r="AD15" i="159" s="1"/>
  <c r="I27" i="154"/>
  <c r="I42" i="154" s="1"/>
  <c r="Y20" i="159" s="1"/>
  <c r="M27" i="154"/>
  <c r="M42" i="154" s="1"/>
  <c r="AC20" i="159" s="1"/>
  <c r="AC15" i="159" s="1"/>
  <c r="J27" i="154"/>
  <c r="J42" i="154" s="1"/>
  <c r="Z20" i="159" s="1"/>
  <c r="H27" i="154"/>
  <c r="H42" i="154" s="1"/>
  <c r="X20" i="159" s="1"/>
  <c r="AV26" i="154"/>
  <c r="AX26" i="154" s="1"/>
  <c r="L27" i="154"/>
  <c r="L42" i="154" s="1"/>
  <c r="AB20" i="159" s="1"/>
  <c r="AB15" i="159" s="1"/>
  <c r="K27" i="154"/>
  <c r="K42" i="154" s="1"/>
  <c r="AA20" i="159" s="1"/>
  <c r="AA15" i="159" s="1"/>
  <c r="P42" i="154"/>
  <c r="AF20" i="159" s="1"/>
  <c r="AF15" i="159" s="1"/>
  <c r="D42" i="154"/>
  <c r="T20" i="159" s="1"/>
  <c r="AV21" i="154"/>
  <c r="U27" i="154"/>
  <c r="U42" i="154" s="1"/>
  <c r="B33" i="172"/>
  <c r="C37" i="172"/>
  <c r="W13" i="159" s="1"/>
  <c r="C31" i="172"/>
  <c r="X27" i="172"/>
  <c r="W27" i="172"/>
  <c r="U27" i="172"/>
  <c r="U42" i="172" l="1"/>
  <c r="AO24" i="159" s="1"/>
  <c r="AX21" i="154"/>
  <c r="D30" i="172"/>
  <c r="D37" i="172" l="1"/>
  <c r="X13" i="159" s="1"/>
  <c r="D31" i="172"/>
  <c r="E30" i="172" s="1"/>
  <c r="E37" i="172" l="1"/>
  <c r="Y13" i="159" s="1"/>
  <c r="E31" i="172"/>
  <c r="F30" i="172" s="1"/>
  <c r="F37" i="172" l="1"/>
  <c r="Z13" i="159" s="1"/>
  <c r="F31" i="172"/>
  <c r="G30" i="172" s="1"/>
  <c r="G37" i="172" l="1"/>
  <c r="AA13" i="159" s="1"/>
  <c r="G31" i="172"/>
  <c r="H30" i="172" s="1"/>
  <c r="H37" i="172" l="1"/>
  <c r="AB13" i="159" s="1"/>
  <c r="H31" i="172"/>
  <c r="I30" i="172" s="1"/>
  <c r="I37" i="172" l="1"/>
  <c r="AC13" i="159" s="1"/>
  <c r="I31" i="172"/>
  <c r="J30" i="172" s="1"/>
  <c r="J31" i="172" l="1"/>
  <c r="K30" i="172" s="1"/>
  <c r="J37" i="172"/>
  <c r="AD13" i="159" s="1"/>
  <c r="K37" i="172" l="1"/>
  <c r="AE13" i="159" s="1"/>
  <c r="K31" i="172"/>
  <c r="L30" i="172" s="1"/>
  <c r="L37" i="172" l="1"/>
  <c r="AF13" i="159" s="1"/>
  <c r="L31" i="172"/>
  <c r="M30" i="172" s="1"/>
  <c r="M37" i="172" l="1"/>
  <c r="AG13" i="159" s="1"/>
  <c r="M31" i="172"/>
  <c r="N30" i="172" s="1"/>
  <c r="N37" i="172" l="1"/>
  <c r="AH13" i="159" s="1"/>
  <c r="N31" i="172"/>
  <c r="O30" i="172" s="1"/>
  <c r="O37" i="172" l="1"/>
  <c r="AI13" i="159" s="1"/>
  <c r="O31" i="172"/>
  <c r="P30" i="172" s="1"/>
  <c r="P37" i="172" l="1"/>
  <c r="AJ13" i="159" s="1"/>
  <c r="P31" i="172"/>
  <c r="Q30" i="172" s="1"/>
  <c r="Q37" i="172" l="1"/>
  <c r="AK13" i="159" s="1"/>
  <c r="Q31" i="172"/>
  <c r="R30" i="172" s="1"/>
  <c r="R37" i="172" l="1"/>
  <c r="AL13" i="159" s="1"/>
  <c r="R31" i="172"/>
  <c r="S30" i="172" s="1"/>
  <c r="S37" i="172" l="1"/>
  <c r="AM13" i="159" s="1"/>
  <c r="S31" i="172"/>
  <c r="T30" i="172" s="1"/>
  <c r="T37" i="172" l="1"/>
  <c r="AN13" i="159" s="1"/>
  <c r="AN4" i="159" s="1"/>
  <c r="T31" i="172"/>
  <c r="U30" i="172" s="1"/>
  <c r="U37" i="172" l="1"/>
  <c r="AO13" i="159" s="1"/>
  <c r="AO4" i="159" s="1"/>
  <c r="U31" i="172"/>
  <c r="V30" i="172" s="1"/>
  <c r="V31" i="172" l="1"/>
  <c r="B30" i="172" l="1"/>
  <c r="B68" i="169"/>
  <c r="D64" i="169"/>
  <c r="B71" i="169" l="1"/>
  <c r="K8" i="140"/>
  <c r="B78" i="169"/>
  <c r="D67" i="169"/>
  <c r="B69" i="169"/>
  <c r="B77" i="169"/>
  <c r="G58" i="169" s="1"/>
  <c r="M8" i="140" l="1"/>
  <c r="B36" i="170"/>
  <c r="B37" i="170" s="1"/>
  <c r="B35" i="170"/>
  <c r="L8" i="140"/>
  <c r="B75" i="169"/>
  <c r="G59" i="169"/>
  <c r="B97" i="169"/>
  <c r="B79" i="169"/>
  <c r="B86" i="169"/>
  <c r="B40" i="170" s="1"/>
  <c r="O41" i="170" s="1"/>
  <c r="AE10" i="159" s="1"/>
  <c r="C77" i="169"/>
  <c r="B87" i="169"/>
  <c r="C78" i="169"/>
  <c r="B45" i="170" l="1"/>
  <c r="O46" i="170" s="1"/>
  <c r="AE21" i="159" s="1"/>
  <c r="N8" i="140"/>
  <c r="B32" i="170"/>
  <c r="B33" i="170" s="1"/>
  <c r="C75" i="169"/>
  <c r="B76" i="169"/>
  <c r="C76" i="169" s="1"/>
  <c r="D34" i="170"/>
  <c r="C79" i="169"/>
  <c r="B88" i="169"/>
  <c r="B94" i="169" s="1"/>
  <c r="D35" i="170" l="1"/>
  <c r="E34" i="170" s="1"/>
  <c r="B46" i="170"/>
  <c r="B47" i="170" s="1"/>
  <c r="B48" i="170" s="1"/>
  <c r="B96" i="169" s="1"/>
  <c r="AE15" i="159"/>
  <c r="D41" i="170"/>
  <c r="T10" i="159" s="1"/>
  <c r="E35" i="170" l="1"/>
  <c r="F34" i="170" s="1"/>
  <c r="F41" i="170" s="1"/>
  <c r="V10" i="159" s="1"/>
  <c r="E41" i="170"/>
  <c r="U10" i="159" s="1"/>
  <c r="F35" i="170" l="1"/>
  <c r="G34" i="170" s="1"/>
  <c r="G41" i="170" s="1"/>
  <c r="W10" i="159" s="1"/>
  <c r="G35" i="170" l="1"/>
  <c r="H34" i="170" s="1"/>
  <c r="H41" i="170" s="1"/>
  <c r="X10" i="159" s="1"/>
  <c r="H35" i="170" l="1"/>
  <c r="I34" i="170" s="1"/>
  <c r="I35" i="170" l="1"/>
  <c r="J34" i="170" s="1"/>
  <c r="I41" i="170"/>
  <c r="Y10" i="159" s="1"/>
  <c r="J35" i="170" l="1"/>
  <c r="K34" i="170" s="1"/>
  <c r="K35" i="170" s="1"/>
  <c r="L34" i="170" s="1"/>
  <c r="J41" i="170"/>
  <c r="Z10" i="159" s="1"/>
  <c r="K41" i="170" l="1"/>
  <c r="AA10" i="159" s="1"/>
  <c r="L41" i="170"/>
  <c r="AB10" i="159" s="1"/>
  <c r="L35" i="170"/>
  <c r="M34" i="170" s="1"/>
  <c r="M35" i="170" l="1"/>
  <c r="N34" i="170" s="1"/>
  <c r="M41" i="170"/>
  <c r="AC10" i="159" s="1"/>
  <c r="N35" i="170" l="1"/>
  <c r="O34" i="170" s="1"/>
  <c r="N41" i="170"/>
  <c r="B41" i="170" l="1"/>
  <c r="B42" i="170" s="1"/>
  <c r="B43" i="170" s="1"/>
  <c r="B95" i="169" s="1"/>
  <c r="O8" i="140" s="1"/>
  <c r="AD10" i="159"/>
  <c r="O35" i="170"/>
  <c r="B34" i="170" l="1"/>
  <c r="O6" i="140" l="1"/>
  <c r="B39" i="150"/>
  <c r="D40" i="150"/>
  <c r="D42" i="150" s="1"/>
  <c r="C42" i="150" l="1"/>
  <c r="B42" i="150"/>
  <c r="D45" i="150"/>
  <c r="D46" i="150" l="1"/>
  <c r="B45" i="150"/>
  <c r="J7" i="140" l="1"/>
  <c r="B87" i="150"/>
  <c r="B74" i="150"/>
  <c r="B94" i="150" l="1"/>
  <c r="B88" i="150"/>
  <c r="B89" i="150" s="1"/>
  <c r="B95" i="150" l="1"/>
  <c r="T20" i="105" l="1"/>
  <c r="V20" i="105"/>
  <c r="B20" i="105"/>
  <c r="P20" i="105" s="1"/>
  <c r="C54" i="149"/>
  <c r="D49" i="149"/>
  <c r="D54" i="149" l="1"/>
  <c r="D20" i="105"/>
  <c r="N20" i="105"/>
  <c r="H20" i="105"/>
  <c r="I20" i="105"/>
  <c r="C20" i="105"/>
  <c r="E20" i="105"/>
  <c r="AV20" i="105"/>
  <c r="B25" i="105"/>
  <c r="Q20" i="105"/>
  <c r="G20" i="105"/>
  <c r="S20" i="105"/>
  <c r="L20" i="105"/>
  <c r="J20" i="105"/>
  <c r="O20" i="105"/>
  <c r="R20" i="105"/>
  <c r="M20" i="105"/>
  <c r="C55" i="149"/>
  <c r="U20" i="105"/>
  <c r="F20" i="105"/>
  <c r="K20" i="105"/>
  <c r="B65" i="149" l="1"/>
  <c r="B66" i="149"/>
  <c r="K5" i="140"/>
  <c r="B57" i="149"/>
  <c r="B59" i="149"/>
  <c r="D55" i="149"/>
  <c r="AU20" i="105"/>
  <c r="AV25" i="105"/>
  <c r="L25" i="105"/>
  <c r="L26" i="105" s="1"/>
  <c r="N25" i="105"/>
  <c r="N26" i="105" s="1"/>
  <c r="C25" i="105"/>
  <c r="G25" i="105"/>
  <c r="G26" i="105" s="1"/>
  <c r="J25" i="105"/>
  <c r="J26" i="105" s="1"/>
  <c r="V25" i="105"/>
  <c r="V26" i="105" s="1"/>
  <c r="H25" i="105"/>
  <c r="H26" i="105" s="1"/>
  <c r="T25" i="105"/>
  <c r="T26" i="105" s="1"/>
  <c r="D25" i="105"/>
  <c r="D26" i="105" s="1"/>
  <c r="P25" i="105"/>
  <c r="P26" i="105" s="1"/>
  <c r="E25" i="105"/>
  <c r="E26" i="105" s="1"/>
  <c r="O25" i="105"/>
  <c r="O26" i="105" s="1"/>
  <c r="Q25" i="105"/>
  <c r="Q26" i="105" s="1"/>
  <c r="S25" i="105"/>
  <c r="S26" i="105" s="1"/>
  <c r="F25" i="105"/>
  <c r="F26" i="105" s="1"/>
  <c r="K25" i="105"/>
  <c r="K26" i="105" s="1"/>
  <c r="I25" i="105"/>
  <c r="I26" i="105" s="1"/>
  <c r="R25" i="105"/>
  <c r="R26" i="105" s="1"/>
  <c r="U25" i="105"/>
  <c r="U26" i="105" s="1"/>
  <c r="M25" i="105"/>
  <c r="M26" i="105" s="1"/>
  <c r="B26" i="105"/>
  <c r="Q41" i="105" l="1"/>
  <c r="U18" i="159" s="1"/>
  <c r="U15" i="159" s="1"/>
  <c r="S41" i="105"/>
  <c r="W18" i="159" s="1"/>
  <c r="W15" i="159" s="1"/>
  <c r="J41" i="105"/>
  <c r="N18" i="159" s="1"/>
  <c r="N15" i="159" s="1"/>
  <c r="M41" i="105"/>
  <c r="Q18" i="159" s="1"/>
  <c r="Q15" i="159" s="1"/>
  <c r="O41" i="105"/>
  <c r="S18" i="159" s="1"/>
  <c r="K41" i="105"/>
  <c r="O18" i="159" s="1"/>
  <c r="O15" i="159" s="1"/>
  <c r="U41" i="105"/>
  <c r="Y18" i="159" s="1"/>
  <c r="Y15" i="159" s="1"/>
  <c r="L41" i="105"/>
  <c r="P18" i="159" s="1"/>
  <c r="P15" i="159" s="1"/>
  <c r="F41" i="105"/>
  <c r="J18" i="159" s="1"/>
  <c r="J15" i="159" s="1"/>
  <c r="R41" i="105"/>
  <c r="V18" i="159" s="1"/>
  <c r="V15" i="159" s="1"/>
  <c r="G52" i="149"/>
  <c r="M5" i="140"/>
  <c r="G53" i="149"/>
  <c r="G49" i="149" s="1"/>
  <c r="B74" i="149"/>
  <c r="C65" i="149"/>
  <c r="B67" i="149"/>
  <c r="B31" i="105"/>
  <c r="B32" i="105" s="1"/>
  <c r="G41" i="105"/>
  <c r="K18" i="159" s="1"/>
  <c r="K15" i="159" s="1"/>
  <c r="E41" i="105"/>
  <c r="I18" i="159" s="1"/>
  <c r="I15" i="159" s="1"/>
  <c r="N41" i="105"/>
  <c r="R18" i="159" s="1"/>
  <c r="R15" i="159" s="1"/>
  <c r="AW20" i="105"/>
  <c r="P41" i="105"/>
  <c r="T18" i="159" s="1"/>
  <c r="T15" i="159" s="1"/>
  <c r="I41" i="105"/>
  <c r="M18" i="159" s="1"/>
  <c r="M15" i="159" s="1"/>
  <c r="D41" i="105"/>
  <c r="H18" i="159" s="1"/>
  <c r="H15" i="159" s="1"/>
  <c r="L5" i="140"/>
  <c r="B30" i="105"/>
  <c r="C66" i="149"/>
  <c r="B75" i="149"/>
  <c r="AU25" i="105"/>
  <c r="AU26" i="105" s="1"/>
  <c r="C26" i="105"/>
  <c r="T41" i="105"/>
  <c r="X18" i="159" s="1"/>
  <c r="X15" i="159" s="1"/>
  <c r="AV26" i="105"/>
  <c r="H41" i="105"/>
  <c r="L18" i="159" s="1"/>
  <c r="L15" i="159" s="1"/>
  <c r="B63" i="149"/>
  <c r="N5" i="140" s="1"/>
  <c r="B27" i="105"/>
  <c r="B28" i="105" s="1"/>
  <c r="C67" i="149" l="1"/>
  <c r="C29" i="105"/>
  <c r="C41" i="105"/>
  <c r="G18" i="159" s="1"/>
  <c r="G15" i="159" s="1"/>
  <c r="B35" i="105"/>
  <c r="V36" i="105" s="1"/>
  <c r="Z7" i="159" s="1"/>
  <c r="B76" i="149"/>
  <c r="B83" i="149" s="1"/>
  <c r="AW25" i="105"/>
  <c r="AW26" i="105" s="1"/>
  <c r="C63" i="149"/>
  <c r="B40" i="105"/>
  <c r="V41" i="105" s="1"/>
  <c r="Z18" i="159" s="1"/>
  <c r="Z15" i="159" s="1"/>
  <c r="B64" i="149"/>
  <c r="C64" i="149" s="1"/>
  <c r="B41" i="105" l="1"/>
  <c r="B42" i="105" s="1"/>
  <c r="B43" i="105" s="1"/>
  <c r="B84" i="149" s="1"/>
  <c r="C30" i="105"/>
  <c r="D29" i="105" s="1"/>
  <c r="D36" i="105" s="1"/>
  <c r="H7" i="159" s="1"/>
  <c r="H4" i="159" s="1"/>
  <c r="C36" i="105"/>
  <c r="G7" i="159" l="1"/>
  <c r="G4" i="159" s="1"/>
  <c r="D30" i="105"/>
  <c r="E29" i="105" s="1"/>
  <c r="E36" i="105" s="1"/>
  <c r="I7" i="159" s="1"/>
  <c r="I4" i="159" s="1"/>
  <c r="E30" i="105" l="1"/>
  <c r="F29" i="105" s="1"/>
  <c r="F36" i="105" l="1"/>
  <c r="F30" i="105"/>
  <c r="G29" i="105" s="1"/>
  <c r="G36" i="105" s="1"/>
  <c r="K7" i="159" s="1"/>
  <c r="K4" i="159" s="1"/>
  <c r="G30" i="105" l="1"/>
  <c r="H29" i="105" s="1"/>
  <c r="H36" i="105" s="1"/>
  <c r="L7" i="159" s="1"/>
  <c r="L4" i="159" s="1"/>
  <c r="J7" i="159"/>
  <c r="J4" i="159" s="1"/>
  <c r="H30" i="105" l="1"/>
  <c r="I29" i="105" s="1"/>
  <c r="I36" i="105" s="1"/>
  <c r="M7" i="159" s="1"/>
  <c r="M4" i="159" s="1"/>
  <c r="I30" i="105" l="1"/>
  <c r="J29" i="105" s="1"/>
  <c r="J36" i="105" l="1"/>
  <c r="N7" i="159" s="1"/>
  <c r="N4" i="159" s="1"/>
  <c r="J30" i="105"/>
  <c r="K29" i="105" s="1"/>
  <c r="K36" i="105" l="1"/>
  <c r="O7" i="159" s="1"/>
  <c r="O4" i="159" s="1"/>
  <c r="K30" i="105"/>
  <c r="L29" i="105" s="1"/>
  <c r="L36" i="105" s="1"/>
  <c r="P7" i="159" s="1"/>
  <c r="P4" i="159" s="1"/>
  <c r="L30" i="105" l="1"/>
  <c r="M29" i="105" s="1"/>
  <c r="M36" i="105" s="1"/>
  <c r="Q7" i="159" s="1"/>
  <c r="Q4" i="159" s="1"/>
  <c r="M30" i="105" l="1"/>
  <c r="N29" i="105" s="1"/>
  <c r="N36" i="105" s="1"/>
  <c r="R7" i="159" s="1"/>
  <c r="R4" i="159" s="1"/>
  <c r="N30" i="105" l="1"/>
  <c r="O29" i="105" s="1"/>
  <c r="O36" i="105" s="1"/>
  <c r="S7" i="159" s="1"/>
  <c r="O30" i="105" l="1"/>
  <c r="P29" i="105" s="1"/>
  <c r="P36" i="105" s="1"/>
  <c r="T7" i="159" s="1"/>
  <c r="P30" i="105" l="1"/>
  <c r="Q29" i="105" s="1"/>
  <c r="Q36" i="105" s="1"/>
  <c r="U7" i="159" s="1"/>
  <c r="Q30" i="105" l="1"/>
  <c r="R29" i="105" s="1"/>
  <c r="R36" i="105" s="1"/>
  <c r="V7" i="159" s="1"/>
  <c r="R30" i="105" l="1"/>
  <c r="S29" i="105" s="1"/>
  <c r="S36" i="105" s="1"/>
  <c r="W7" i="159" s="1"/>
  <c r="S30" i="105" l="1"/>
  <c r="T29" i="105" s="1"/>
  <c r="T36" i="105" s="1"/>
  <c r="X7" i="159" s="1"/>
  <c r="T30" i="105" l="1"/>
  <c r="U29" i="105" s="1"/>
  <c r="U36" i="105" s="1"/>
  <c r="Y7" i="159" s="1"/>
  <c r="B24" i="154"/>
  <c r="AW24" i="154" s="1"/>
  <c r="D68" i="150"/>
  <c r="C71" i="150"/>
  <c r="B82" i="150" l="1"/>
  <c r="B91" i="150" s="1"/>
  <c r="B81" i="150"/>
  <c r="B90" i="150" s="1"/>
  <c r="B36" i="105"/>
  <c r="B37" i="105" s="1"/>
  <c r="B38" i="105" s="1"/>
  <c r="B85" i="149" s="1"/>
  <c r="O5" i="140" s="1"/>
  <c r="U30" i="105"/>
  <c r="V29" i="105" s="1"/>
  <c r="C24" i="154"/>
  <c r="K7" i="140"/>
  <c r="AW27" i="154"/>
  <c r="B75" i="150"/>
  <c r="B27" i="154"/>
  <c r="D71" i="150"/>
  <c r="B72" i="150"/>
  <c r="B73" i="150"/>
  <c r="C82" i="150" l="1"/>
  <c r="B31" i="154"/>
  <c r="L7" i="140"/>
  <c r="L12" i="140" s="1"/>
  <c r="V30" i="105"/>
  <c r="B29" i="105"/>
  <c r="H69" i="150"/>
  <c r="B101" i="150"/>
  <c r="H68" i="150"/>
  <c r="C27" i="154"/>
  <c r="AV24" i="154"/>
  <c r="B83" i="150"/>
  <c r="C83" i="150" s="1"/>
  <c r="B32" i="154"/>
  <c r="B33" i="154" s="1"/>
  <c r="M7" i="140"/>
  <c r="C81" i="150"/>
  <c r="AC42" i="154"/>
  <c r="AS20" i="159" s="1"/>
  <c r="AS15" i="159" s="1"/>
  <c r="AE42" i="154"/>
  <c r="AU20" i="159" s="1"/>
  <c r="AN42" i="154"/>
  <c r="AJ42" i="154"/>
  <c r="AR42" i="154"/>
  <c r="AD42" i="154"/>
  <c r="AT20" i="159" s="1"/>
  <c r="AT15" i="159" s="1"/>
  <c r="AB42" i="154"/>
  <c r="AR20" i="159" s="1"/>
  <c r="AR15" i="159" s="1"/>
  <c r="AG42" i="154"/>
  <c r="AL42" i="154"/>
  <c r="AK42" i="154"/>
  <c r="AH42" i="154"/>
  <c r="AO42" i="154"/>
  <c r="Y42" i="154"/>
  <c r="AO20" i="159" s="1"/>
  <c r="AO15" i="159" s="1"/>
  <c r="Z42" i="154"/>
  <c r="AP20" i="159" s="1"/>
  <c r="AA42" i="154"/>
  <c r="AQ20" i="159" s="1"/>
  <c r="AQ15" i="159" s="1"/>
  <c r="AP42" i="154"/>
  <c r="AM42" i="154"/>
  <c r="AQ42" i="154"/>
  <c r="AF42" i="154"/>
  <c r="AI42" i="154"/>
  <c r="B92" i="150"/>
  <c r="B98" i="150" s="1"/>
  <c r="B36" i="154"/>
  <c r="B41" i="154"/>
  <c r="B79" i="150"/>
  <c r="N7" i="140" s="1"/>
  <c r="M12" i="140" l="1"/>
  <c r="AV27" i="154"/>
  <c r="AX24" i="154"/>
  <c r="C30" i="154"/>
  <c r="C42" i="154"/>
  <c r="S20" i="159" s="1"/>
  <c r="S15" i="159" s="1"/>
  <c r="X37" i="154"/>
  <c r="R37" i="154"/>
  <c r="C79" i="150"/>
  <c r="B28" i="154"/>
  <c r="B29" i="154" s="1"/>
  <c r="B80" i="150"/>
  <c r="C80" i="150" s="1"/>
  <c r="R42" i="154"/>
  <c r="AH20" i="159" s="1"/>
  <c r="X42" i="154"/>
  <c r="AH9" i="159" l="1"/>
  <c r="AH4" i="159" s="1"/>
  <c r="B42" i="154"/>
  <c r="B43" i="154" s="1"/>
  <c r="B44" i="154" s="1"/>
  <c r="C37" i="154"/>
  <c r="S9" i="159" s="1"/>
  <c r="S4" i="159" s="1"/>
  <c r="C31" i="154"/>
  <c r="D30" i="154" s="1"/>
  <c r="AH15" i="159"/>
  <c r="D37" i="154" l="1"/>
  <c r="T9" i="159" s="1"/>
  <c r="T4" i="159" s="1"/>
  <c r="D31" i="154"/>
  <c r="E30" i="154" s="1"/>
  <c r="B100" i="150"/>
  <c r="E37" i="154" l="1"/>
  <c r="U9" i="159" s="1"/>
  <c r="U4" i="159" s="1"/>
  <c r="E31" i="154"/>
  <c r="F30" i="154" s="1"/>
  <c r="F37" i="154" l="1"/>
  <c r="V9" i="159" s="1"/>
  <c r="V4" i="159" s="1"/>
  <c r="F31" i="154"/>
  <c r="G30" i="154" s="1"/>
  <c r="G31" i="154" s="1"/>
  <c r="H30" i="154" s="1"/>
  <c r="H37" i="154" s="1"/>
  <c r="X9" i="159" s="1"/>
  <c r="X4" i="159" l="1"/>
  <c r="H31" i="154"/>
  <c r="I30" i="154" s="1"/>
  <c r="G37" i="154"/>
  <c r="W9" i="159" s="1"/>
  <c r="W4" i="159" s="1"/>
  <c r="I37" i="154" l="1"/>
  <c r="Y9" i="159" s="1"/>
  <c r="Y4" i="159" s="1"/>
  <c r="I31" i="154"/>
  <c r="J30" i="154" s="1"/>
  <c r="J37" i="154" s="1"/>
  <c r="Z9" i="159" s="1"/>
  <c r="J31" i="154" l="1"/>
  <c r="K30" i="154" s="1"/>
  <c r="K31" i="154" s="1"/>
  <c r="L30" i="154" s="1"/>
  <c r="Z4" i="159"/>
  <c r="K37" i="154" l="1"/>
  <c r="AA9" i="159" s="1"/>
  <c r="AA4" i="159" s="1"/>
  <c r="L37" i="154"/>
  <c r="AB9" i="159" s="1"/>
  <c r="AB4" i="159" s="1"/>
  <c r="L31" i="154"/>
  <c r="M30" i="154" s="1"/>
  <c r="M37" i="154" l="1"/>
  <c r="AC9" i="159" s="1"/>
  <c r="AC4" i="159" s="1"/>
  <c r="M31" i="154"/>
  <c r="N30" i="154" s="1"/>
  <c r="N37" i="154" l="1"/>
  <c r="AD9" i="159" s="1"/>
  <c r="AD4" i="159" s="1"/>
  <c r="N31" i="154"/>
  <c r="O30" i="154" s="1"/>
  <c r="O37" i="154" l="1"/>
  <c r="AE9" i="159" s="1"/>
  <c r="AE4" i="159" s="1"/>
  <c r="O31" i="154"/>
  <c r="P30" i="154" s="1"/>
  <c r="P37" i="154" l="1"/>
  <c r="AF9" i="159" s="1"/>
  <c r="AF4" i="159" s="1"/>
  <c r="P31" i="154"/>
  <c r="Q30" i="154" s="1"/>
  <c r="Q37" i="154" l="1"/>
  <c r="Q31" i="154"/>
  <c r="R30" i="154" s="1"/>
  <c r="R31" i="154" s="1"/>
  <c r="S30" i="154" s="1"/>
  <c r="B37" i="154" l="1"/>
  <c r="B38" i="154" s="1"/>
  <c r="AG9" i="159"/>
  <c r="AG4" i="159" s="1"/>
  <c r="S37" i="154"/>
  <c r="S31" i="154"/>
  <c r="T30" i="154" s="1"/>
  <c r="B39" i="154" l="1"/>
  <c r="O7" i="140" s="1"/>
  <c r="AI9" i="159"/>
  <c r="AI4" i="159" s="1"/>
  <c r="T37" i="154"/>
  <c r="AJ9" i="159" s="1"/>
  <c r="AJ4" i="159" s="1"/>
  <c r="T31" i="154"/>
  <c r="U30" i="154" s="1"/>
  <c r="B99" i="150" l="1"/>
  <c r="U37" i="154"/>
  <c r="AK9" i="159" s="1"/>
  <c r="AK4" i="159" s="1"/>
  <c r="U31" i="154"/>
  <c r="V30" i="154" s="1"/>
  <c r="V37" i="154" l="1"/>
  <c r="AL9" i="159" s="1"/>
  <c r="AL4" i="159" s="1"/>
  <c r="V31" i="154"/>
  <c r="W30" i="154" s="1"/>
  <c r="W37" i="154" l="1"/>
  <c r="AM9" i="159" s="1"/>
  <c r="AM4" i="159" s="1"/>
  <c r="W31" i="154"/>
  <c r="X30" i="154" s="1"/>
  <c r="X31" i="154" l="1"/>
  <c r="B30" i="154"/>
  <c r="D42" i="171"/>
  <c r="D44" i="171" s="1"/>
  <c r="B41" i="171"/>
  <c r="C41" i="171"/>
  <c r="B44" i="171" l="1"/>
  <c r="C44" i="171"/>
  <c r="D47" i="171"/>
  <c r="B47" i="171" l="1"/>
  <c r="B103" i="171"/>
  <c r="D48" i="171"/>
  <c r="B73" i="171"/>
  <c r="J11" i="140" l="1"/>
  <c r="J12" i="140" s="1"/>
  <c r="B76" i="171"/>
  <c r="B88" i="171"/>
  <c r="B74" i="171"/>
  <c r="B75" i="171"/>
  <c r="K11" i="140"/>
  <c r="K12" i="140" s="1"/>
  <c r="B95" i="171" l="1"/>
  <c r="B89" i="171"/>
  <c r="B90" i="171" s="1"/>
  <c r="B80" i="171"/>
  <c r="N11" i="140" s="1"/>
  <c r="N12" i="140" s="1"/>
  <c r="B28" i="172"/>
  <c r="B29" i="172" s="1"/>
  <c r="B41" i="172" l="1"/>
  <c r="V42" i="172" s="1"/>
  <c r="B36" i="172"/>
  <c r="V37" i="172" s="1"/>
  <c r="B93" i="171"/>
  <c r="B100" i="171" s="1"/>
  <c r="B96" i="171"/>
  <c r="B81" i="171"/>
  <c r="C81" i="171" s="1"/>
  <c r="C80" i="171"/>
  <c r="B37" i="172" l="1"/>
  <c r="B38" i="172" s="1"/>
  <c r="B39" i="172" s="1"/>
  <c r="B101" i="171" s="1"/>
  <c r="O11" i="140" s="1"/>
  <c r="AP13" i="159"/>
  <c r="AP4" i="159" s="1"/>
  <c r="B42" i="172"/>
  <c r="B43" i="172" s="1"/>
  <c r="B44" i="172" s="1"/>
  <c r="B102" i="171" s="1"/>
  <c r="AP24" i="159"/>
  <c r="AP15" i="159" s="1"/>
  <c r="B4" i="159" l="1"/>
  <c r="B5" i="159" s="1"/>
  <c r="B6" i="159" s="1"/>
  <c r="O12" i="140" s="1"/>
  <c r="B15" i="159"/>
  <c r="B16" i="159" s="1"/>
  <c r="B17" i="15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2" authorId="0" shapeId="0" xr:uid="{EFA0144C-4504-4D2C-A468-8A203F3F6C9B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8" authorId="0" shapeId="0" xr:uid="{79F1981F-B615-45E8-B1AC-7242C8E482DE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8" authorId="0" shapeId="0" xr:uid="{9F712155-0D05-4677-939E-4CF5DA04AA15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4" authorId="0" shapeId="0" xr:uid="{9EFAD23C-7748-40FB-9A53-A8209E220521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4" authorId="0" shapeId="0" xr:uid="{E23A50C2-D2E9-4178-9C7A-5A17E04E1D85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9" authorId="0" shapeId="0" xr:uid="{AB83A853-BBB8-43D7-9177-91AB01459389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9" authorId="0" shapeId="0" xr:uid="{7A5C414E-B734-4BF7-8511-47B8062B5959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2" authorId="0" shapeId="0" xr:uid="{26AB10D0-7DE6-4E73-8DF3-CD533F01E13F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82" authorId="0" shapeId="0" xr:uid="{5F05B48A-4D15-4075-952A-A8CEF1EC1987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sharedStrings.xml><?xml version="1.0" encoding="utf-8"?>
<sst xmlns="http://schemas.openxmlformats.org/spreadsheetml/2006/main" count="1658" uniqueCount="486">
  <si>
    <t>Construction Costs Research</t>
  </si>
  <si>
    <t>Key Takeaways</t>
  </si>
  <si>
    <t>Source: Cummings</t>
  </si>
  <si>
    <t>Multifamily</t>
  </si>
  <si>
    <t>Office</t>
  </si>
  <si>
    <t>Retail</t>
  </si>
  <si>
    <t>Average</t>
  </si>
  <si>
    <t>High</t>
  </si>
  <si>
    <t>Low</t>
  </si>
  <si>
    <t>Hard costs</t>
  </si>
  <si>
    <t>Above Grade Parking</t>
  </si>
  <si>
    <t>Demolition</t>
  </si>
  <si>
    <t>Studio</t>
  </si>
  <si>
    <t>2BR</t>
  </si>
  <si>
    <t>3BR</t>
  </si>
  <si>
    <t>Office Rent, Vacancy, and Cap Rates</t>
  </si>
  <si>
    <t>Retail Rent, Vacancy, and Cap Rates</t>
  </si>
  <si>
    <t>Rents, Sales prices, NOI and cap rates</t>
  </si>
  <si>
    <t>Market Rate Housing Rents and Sales Prices</t>
  </si>
  <si>
    <t>Rent per SF(NNN)</t>
  </si>
  <si>
    <t>Exit Assumptions</t>
  </si>
  <si>
    <t>Sale Prices/SF</t>
  </si>
  <si>
    <t>Class A Office</t>
  </si>
  <si>
    <t>Cap Rate</t>
  </si>
  <si>
    <t>Average Size in SF</t>
  </si>
  <si>
    <t>Ground Foor office &amp; retail</t>
  </si>
  <si>
    <t>Affordable Rental</t>
  </si>
  <si>
    <t>Rent or Price PSF</t>
  </si>
  <si>
    <t>Nonprofit Office</t>
  </si>
  <si>
    <t>Market Rate Rental</t>
  </si>
  <si>
    <t>Artists Studios</t>
  </si>
  <si>
    <t>Ground floor retail</t>
  </si>
  <si>
    <t>Parking</t>
  </si>
  <si>
    <t>Traditional retail</t>
  </si>
  <si>
    <t>Sale Costs</t>
  </si>
  <si>
    <t>NOI Calculation</t>
  </si>
  <si>
    <t>Additional Mixed use revenues after parking</t>
  </si>
  <si>
    <t>Leverage Assumptions</t>
  </si>
  <si>
    <t>Suburban retail office</t>
  </si>
  <si>
    <t>Debt percentage</t>
  </si>
  <si>
    <t>Mixed Use Expense Estimate</t>
  </si>
  <si>
    <t>Residential mixed use</t>
  </si>
  <si>
    <t>High Rise Residential</t>
  </si>
  <si>
    <t>Project Cost Estimating parameters</t>
  </si>
  <si>
    <t>Parking Mix</t>
  </si>
  <si>
    <t>Type</t>
  </si>
  <si>
    <t>Basis</t>
  </si>
  <si>
    <t xml:space="preserve">   Parking Ratio Requirements</t>
  </si>
  <si>
    <t>Type V Hard Costs for Construction</t>
  </si>
  <si>
    <t xml:space="preserve">     Residential</t>
  </si>
  <si>
    <t>1 space per unit</t>
  </si>
  <si>
    <t>Type III Hard Costs for Construction</t>
  </si>
  <si>
    <t xml:space="preserve">     Retail/Office</t>
  </si>
  <si>
    <t>1 space per 1,000 sf</t>
  </si>
  <si>
    <t>Type I Hard Costs for Construcion</t>
  </si>
  <si>
    <t>Underground, Structure and Surface</t>
  </si>
  <si>
    <t>Parking Costs</t>
  </si>
  <si>
    <t>See Parking Mix table</t>
  </si>
  <si>
    <t xml:space="preserve">    SF per space(including circulation)</t>
  </si>
  <si>
    <t>Hard Cost Contingency</t>
  </si>
  <si>
    <t xml:space="preserve">    $/space </t>
  </si>
  <si>
    <t xml:space="preserve">  Structured Parking</t>
  </si>
  <si>
    <t>Municipal Fees and Allowances</t>
  </si>
  <si>
    <t xml:space="preserve">  Surface Parking</t>
  </si>
  <si>
    <t>Share of Infrastructure</t>
  </si>
  <si>
    <t>Estimated allocation from FPC</t>
  </si>
  <si>
    <t>Legal</t>
  </si>
  <si>
    <t>Estimate</t>
  </si>
  <si>
    <t>Land Closing Costs/commissions</t>
  </si>
  <si>
    <t xml:space="preserve">Design </t>
  </si>
  <si>
    <t>Monthly Rent / Space</t>
  </si>
  <si>
    <t>Developer Fee</t>
  </si>
  <si>
    <t xml:space="preserve">    Unbundled rent/space</t>
  </si>
  <si>
    <t>Construction Management Fee</t>
  </si>
  <si>
    <t xml:space="preserve">     Public garage</t>
  </si>
  <si>
    <t>Taxes during construction</t>
  </si>
  <si>
    <t xml:space="preserve">  Affordable </t>
  </si>
  <si>
    <t>Insurance</t>
  </si>
  <si>
    <t xml:space="preserve">  Suburban Surface</t>
  </si>
  <si>
    <t>Marketing, FFE and Preleasing</t>
  </si>
  <si>
    <t>Operating Deficit</t>
  </si>
  <si>
    <t>Commercial Tenant Improvements</t>
  </si>
  <si>
    <t>Retail and office brokerage</t>
  </si>
  <si>
    <t>Construction Loan Origination</t>
  </si>
  <si>
    <t>Construction Interest</t>
  </si>
  <si>
    <t>Household size</t>
  </si>
  <si>
    <t>Low Income: 50% of median</t>
  </si>
  <si>
    <t>Moderate Income: 70% of median</t>
  </si>
  <si>
    <t>30% spent on Housing</t>
  </si>
  <si>
    <t>35% spent on Housing</t>
  </si>
  <si>
    <t xml:space="preserve">  less Utility Allowance</t>
  </si>
  <si>
    <t>Remainder for Rent</t>
  </si>
  <si>
    <t xml:space="preserve">  less Property Insurance</t>
  </si>
  <si>
    <t>Monthly</t>
  </si>
  <si>
    <t xml:space="preserve">  less Property Taxes @ 1.4%</t>
  </si>
  <si>
    <t>Remainder for Mortgage</t>
  </si>
  <si>
    <t>Low Income: 70% of median</t>
  </si>
  <si>
    <t>TOTAL AFFORDABLE PRICE</t>
  </si>
  <si>
    <t>Moderate Income: 100% of median</t>
  </si>
  <si>
    <t>Moderate Income: 110% of median</t>
  </si>
  <si>
    <t>Moderate Income: 120% of median</t>
  </si>
  <si>
    <t>Development Program</t>
  </si>
  <si>
    <t>Development Component</t>
  </si>
  <si>
    <t>Location of Development Component</t>
  </si>
  <si>
    <t>Area in SF</t>
  </si>
  <si>
    <t>Land Use</t>
  </si>
  <si>
    <t>Residential Units</t>
  </si>
  <si>
    <t>Commercial SF</t>
  </si>
  <si>
    <t>Building Height</t>
  </si>
  <si>
    <t>Value</t>
  </si>
  <si>
    <t>Total Project Costs</t>
  </si>
  <si>
    <t>Equity</t>
  </si>
  <si>
    <t>Debt</t>
  </si>
  <si>
    <t>GAP</t>
  </si>
  <si>
    <t>Leveraged IRR</t>
  </si>
  <si>
    <t>None</t>
  </si>
  <si>
    <t>TOTALS</t>
  </si>
  <si>
    <t>Infrastructure Allocation</t>
  </si>
  <si>
    <t>Item</t>
  </si>
  <si>
    <t>Total Cost</t>
  </si>
  <si>
    <t>Neighborhood Park</t>
  </si>
  <si>
    <t>Flood Control</t>
  </si>
  <si>
    <t>TOTAL</t>
  </si>
  <si>
    <t>Schedule</t>
  </si>
  <si>
    <t>Pre-Development</t>
  </si>
  <si>
    <t>Construction</t>
  </si>
  <si>
    <t>Close-out</t>
  </si>
  <si>
    <t>Development types</t>
  </si>
  <si>
    <t>Configuration</t>
  </si>
  <si>
    <t>Building type</t>
  </si>
  <si>
    <t>Commercial included?</t>
  </si>
  <si>
    <t>Label</t>
  </si>
  <si>
    <t>Return on Cost requirement</t>
  </si>
  <si>
    <t>Typical Construction period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</si>
  <si>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Market Rate/Mixed use</t>
    </r>
  </si>
  <si>
    <t>Type III  6 stories</t>
  </si>
  <si>
    <t>Includes Retail and/or office components</t>
  </si>
  <si>
    <t>RES-Market-MU-Rental</t>
  </si>
  <si>
    <t>3 years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</si>
  <si>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Retail/office stand alone</t>
    </r>
  </si>
  <si>
    <t>Type V--1 to 2 stories</t>
  </si>
  <si>
    <t>May include Retail and/or office components</t>
  </si>
  <si>
    <t>Suburban retail/office</t>
  </si>
  <si>
    <t>2 years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</si>
  <si>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Office stand alone</t>
    </r>
  </si>
  <si>
    <t>Type 5-up to 4 stories  Type III up to 6 stories   Type I--up to 30 stories</t>
  </si>
  <si>
    <t>May include Retail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</si>
  <si>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Market Rate</t>
    </r>
  </si>
  <si>
    <t>RES-Market-Rental</t>
  </si>
  <si>
    <t>20% to 30% depending on building type</t>
  </si>
  <si>
    <t>2 years to 3 years</t>
  </si>
  <si>
    <r>
      <rPr>
        <b/>
        <sz val="11"/>
        <color theme="1"/>
        <rFont val="Arial"/>
        <family val="2"/>
      </rPr>
      <t>For Sale</t>
    </r>
    <r>
      <rPr>
        <sz val="11"/>
        <color theme="1"/>
        <rFont val="Arial"/>
        <family val="2"/>
      </rPr>
      <t>: Residential Market Rate</t>
    </r>
  </si>
  <si>
    <t>Type V--low density  Type I-high density</t>
  </si>
  <si>
    <t>RES-Market-Sale</t>
  </si>
  <si>
    <t>20% for low density     30% for high density</t>
  </si>
  <si>
    <t>2 years for low density                      3 years for high density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</si>
  <si>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Affordable Mixed use</t>
    </r>
  </si>
  <si>
    <t>Type III--6 stories</t>
  </si>
  <si>
    <t>RES-AFF-MU</t>
  </si>
  <si>
    <r>
      <rPr>
        <b/>
        <sz val="11"/>
        <color theme="1"/>
        <rFont val="Arial"/>
        <family val="2"/>
      </rPr>
      <t>For Sale</t>
    </r>
    <r>
      <rPr>
        <sz val="11"/>
        <color theme="1"/>
        <rFont val="Arial"/>
        <family val="2"/>
      </rPr>
      <t>: Residential Affordable</t>
    </r>
  </si>
  <si>
    <t>RES-AFF</t>
  </si>
  <si>
    <r>
      <t>Hotel: Lodging</t>
    </r>
    <r>
      <rPr>
        <sz val="11"/>
        <color theme="1"/>
        <rFont val="Arial"/>
        <family val="2"/>
      </rPr>
      <t xml:space="preserve"> and amenity income</t>
    </r>
  </si>
  <si>
    <t>Type I-high density</t>
  </si>
  <si>
    <r>
      <t xml:space="preserve">Industrial Park:  </t>
    </r>
    <r>
      <rPr>
        <sz val="11"/>
        <color theme="1"/>
        <rFont val="Arial"/>
        <family val="2"/>
      </rPr>
      <t>Warehouse and manufacturing</t>
    </r>
  </si>
  <si>
    <t>Type V or III</t>
  </si>
  <si>
    <t>May include office components</t>
  </si>
  <si>
    <t>Industrial</t>
  </si>
  <si>
    <t>20% or 30% depending on building height</t>
  </si>
  <si>
    <t>DEVELOPMENT PLAN</t>
  </si>
  <si>
    <t>Quick Rent Adjuster</t>
  </si>
  <si>
    <t>For Rent Residential</t>
  </si>
  <si>
    <t># of Units</t>
  </si>
  <si>
    <t>Net Rentable Square Feet (NRSF)</t>
  </si>
  <si>
    <t>$/SF/Mo.</t>
  </si>
  <si>
    <t>Total Annual</t>
  </si>
  <si>
    <t>2 bedroom/2 bath</t>
  </si>
  <si>
    <t>Totals:</t>
  </si>
  <si>
    <t>Averages:</t>
  </si>
  <si>
    <t>COMMERCIAL SPACE</t>
  </si>
  <si>
    <t>Square Feet</t>
  </si>
  <si>
    <t>NNN Rent</t>
  </si>
  <si>
    <t>Total Commercial</t>
  </si>
  <si>
    <t>PARKING</t>
  </si>
  <si>
    <t>Residential</t>
  </si>
  <si>
    <t>Commercial</t>
  </si>
  <si>
    <t>Total Parking</t>
  </si>
  <si>
    <t>Fit to Parcel (Layout Calculator)</t>
  </si>
  <si>
    <t>Total Land area</t>
  </si>
  <si>
    <t>Total Leasable SF (residential +commercial)</t>
  </si>
  <si>
    <t>NET OPERATING INCOME</t>
  </si>
  <si>
    <t>INCOME</t>
  </si>
  <si>
    <t>Per Unit</t>
  </si>
  <si>
    <t>$/SF Res</t>
  </si>
  <si>
    <t>Un-Trended</t>
  </si>
  <si>
    <t>Gross Residential Rental Income</t>
  </si>
  <si>
    <t>Commercial RENT</t>
  </si>
  <si>
    <t>Gross Income</t>
  </si>
  <si>
    <t>Other Income</t>
  </si>
  <si>
    <t>$/unit</t>
  </si>
  <si>
    <t>$/SF</t>
  </si>
  <si>
    <t>Parking Income-residential only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</si>
  <si>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</si>
  <si>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</si>
  <si>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</si>
  <si>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</si>
  <si>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</si>
  <si>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</si>
  <si>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</si>
  <si>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</si>
  <si>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</si>
  <si>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PROJECT COSTS</t>
  </si>
  <si>
    <t>BASIS</t>
  </si>
  <si>
    <t xml:space="preserve">   Budget     </t>
  </si>
  <si>
    <t>Hard Costs for Construction</t>
  </si>
  <si>
    <t>Parking stalls</t>
  </si>
  <si>
    <t>LAND</t>
  </si>
  <si>
    <t>Land cost</t>
  </si>
  <si>
    <t>Infrastructure allocation</t>
  </si>
  <si>
    <t>Parcel allocation</t>
  </si>
  <si>
    <t>Taxes</t>
  </si>
  <si>
    <t>Retail Tenant Improvements</t>
  </si>
  <si>
    <t>Retail brokerage</t>
  </si>
  <si>
    <t>Apply % to estimated Debt to avoid circular reference</t>
  </si>
  <si>
    <t>Additional Contingency</t>
  </si>
  <si>
    <t>Total Project Cost</t>
  </si>
  <si>
    <t>Yield on cost</t>
  </si>
  <si>
    <t>Return on cost</t>
  </si>
  <si>
    <t>Negative indicates shortfall</t>
  </si>
  <si>
    <t>FINANCING</t>
  </si>
  <si>
    <t>Total</t>
  </si>
  <si>
    <t>Gap Funding reduction</t>
  </si>
  <si>
    <t>Private financing Amount</t>
  </si>
  <si>
    <t>Total Sources</t>
  </si>
  <si>
    <t>SALES ANALYSIS</t>
  </si>
  <si>
    <t>Untrended</t>
  </si>
  <si>
    <t>Gross Sales Proceeds</t>
  </si>
  <si>
    <t>Net Sales Proceeds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</si>
  <si>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</si>
  <si>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</si>
  <si>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</si>
  <si>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</si>
  <si>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</si>
  <si>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</si>
  <si>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</si>
  <si>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</si>
  <si>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</si>
  <si>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</si>
  <si>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</si>
  <si>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</si>
  <si>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Schedule----&gt;</t>
  </si>
  <si>
    <t>Duration----&gt;</t>
  </si>
  <si>
    <t>Predevelopment ends</t>
  </si>
  <si>
    <t>Construction begins</t>
  </si>
  <si>
    <t>Construction ends</t>
  </si>
  <si>
    <t>Close-out begins</t>
  </si>
  <si>
    <t>Close-out ends</t>
  </si>
  <si>
    <t>&lt;---- columns to unhide for longer development period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</si>
  <si>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</si>
  <si>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</si>
  <si>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</si>
  <si>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</si>
  <si>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</si>
  <si>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</si>
  <si>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</si>
  <si>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</si>
  <si>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</t>
  </si>
  <si>
    <t>Total annual debt service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</si>
  <si>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</si>
  <si>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</si>
  <si>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</si>
  <si>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</si>
  <si>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</si>
  <si>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</si>
  <si>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</si>
  <si>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Sale+GAP FUNDING</t>
  </si>
  <si>
    <t>UNLeveraged QUARTERLY TOTAL Cash flow</t>
  </si>
  <si>
    <t>UNLeveraged QUARTERLY IRR</t>
  </si>
  <si>
    <t>UNLeveraged Annual IRR</t>
  </si>
  <si>
    <t>Parking Income-residential</t>
  </si>
  <si>
    <t>Estimate of residual value</t>
  </si>
  <si>
    <t>Apply percentage to estimated Debt to avoid circular reference</t>
  </si>
  <si>
    <t>Demolition begins</t>
  </si>
  <si>
    <t>Demolition ends</t>
  </si>
  <si>
    <t>Construction Ends</t>
  </si>
  <si>
    <t>Closeout begins</t>
  </si>
  <si>
    <t>Closeout ends</t>
  </si>
  <si>
    <t>Leveraged QUARTERLY cash flow</t>
  </si>
  <si>
    <t>Town homes for sale</t>
  </si>
  <si>
    <t>Unit Size</t>
  </si>
  <si>
    <t>Price/SF</t>
  </si>
  <si>
    <t>Total Sales Value</t>
  </si>
  <si>
    <t>Residential--in garages below living area</t>
  </si>
  <si>
    <t>Guest Parking</t>
  </si>
  <si>
    <t>Total Sales SF (residential +commercial)</t>
  </si>
  <si>
    <t>Sales Income</t>
  </si>
  <si>
    <t>Total Sales</t>
  </si>
  <si>
    <t>Net interest during closeout</t>
  </si>
  <si>
    <t>NA</t>
  </si>
  <si>
    <t>Leveraged Quarterly IRR</t>
  </si>
  <si>
    <t>NRSF</t>
  </si>
  <si>
    <t>PROJECT COST</t>
  </si>
  <si>
    <t>Begin Construction</t>
  </si>
  <si>
    <t>End Construction</t>
  </si>
  <si>
    <t>Begin Closeout</t>
  </si>
  <si>
    <t>End Closeout</t>
  </si>
  <si>
    <t>Permanent loan debt (based on private capital net of gap funding)</t>
  </si>
  <si>
    <t>Total annual debt service @4.5%</t>
  </si>
  <si>
    <t>$/stall</t>
  </si>
  <si>
    <t>Parking Income-commercial</t>
  </si>
  <si>
    <t>per sf</t>
  </si>
  <si>
    <t>Sales Price per SF</t>
  </si>
  <si>
    <t>SURFACE Parking not part of building</t>
  </si>
  <si>
    <t>End Pre-development</t>
  </si>
  <si>
    <t>Quick Rate Adjuster</t>
  </si>
  <si>
    <t>Retail/Dining/Event</t>
  </si>
  <si>
    <t>PARKING for Components A&amp;B</t>
  </si>
  <si>
    <t>Guest parking</t>
  </si>
  <si>
    <t>Total Revenue generating SF</t>
  </si>
  <si>
    <t>Guest Parking Income</t>
  </si>
  <si>
    <t>ALL Draw-all parcels</t>
  </si>
  <si>
    <t>Quarter----&gt;</t>
  </si>
  <si>
    <t>UNLeveraged Quarterly TOTAL Cash flow</t>
  </si>
  <si>
    <t>UNLeveraged Quarterly IRR</t>
  </si>
  <si>
    <t>01/1/25 to 12/31/25</t>
  </si>
  <si>
    <t>1/1/26 to 12/31/28</t>
  </si>
  <si>
    <t>1/1/29 to 6/30/29</t>
  </si>
  <si>
    <t>Courthouse</t>
  </si>
  <si>
    <t>Goat Hill</t>
  </si>
  <si>
    <t>Hard Costs for Construction/Refurbishment</t>
  </si>
  <si>
    <t>Housing Type</t>
  </si>
  <si>
    <t>Single Room Occupancy (SRO)</t>
  </si>
  <si>
    <t xml:space="preserve">Hotel </t>
  </si>
  <si>
    <t>Source: Costar - Seattle</t>
  </si>
  <si>
    <t>Source: RSMeans</t>
  </si>
  <si>
    <t>Current Zoning</t>
  </si>
  <si>
    <t>Site</t>
  </si>
  <si>
    <t>KCCH</t>
  </si>
  <si>
    <t>Admin</t>
  </si>
  <si>
    <t>KCCF</t>
  </si>
  <si>
    <t>420 Sites*</t>
  </si>
  <si>
    <t>Goat Hill Sites</t>
  </si>
  <si>
    <t>Chinook</t>
  </si>
  <si>
    <t>Yessler</t>
  </si>
  <si>
    <t>Upzone</t>
  </si>
  <si>
    <t>North West</t>
  </si>
  <si>
    <t>Project Types</t>
  </si>
  <si>
    <t>Unit</t>
  </si>
  <si>
    <t>Low $/Unit</t>
  </si>
  <si>
    <t>Median $/Unit</t>
  </si>
  <si>
    <t>High $/Unit</t>
  </si>
  <si>
    <t>Education</t>
  </si>
  <si>
    <t>K-12 School</t>
  </si>
  <si>
    <t>SF</t>
  </si>
  <si>
    <t>Higher Ed Instructional Building</t>
  </si>
  <si>
    <t>Healthcare</t>
  </si>
  <si>
    <t>Hospital</t>
  </si>
  <si>
    <t>Medical Office Building</t>
  </si>
  <si>
    <t>Hospitality &amp; Lodging</t>
  </si>
  <si>
    <t>Three-Star Hotel</t>
  </si>
  <si>
    <t>Five-Star Hotel</t>
  </si>
  <si>
    <t>Shell &amp; Core</t>
  </si>
  <si>
    <t>Tenant Improvement</t>
  </si>
  <si>
    <t>Life Sciences / Lab</t>
  </si>
  <si>
    <t>Data Center</t>
  </si>
  <si>
    <t>MW</t>
  </si>
  <si>
    <t>Parking Structures</t>
  </si>
  <si>
    <t>Above Grade-Multi-Level (330 SF / Stall)</t>
  </si>
  <si>
    <t>Stall</t>
  </si>
  <si>
    <t>Below Grade-Multi-Level (400 SF / Stall)</t>
  </si>
  <si>
    <t>Market Grade Apartment</t>
  </si>
  <si>
    <t>Condominium</t>
  </si>
  <si>
    <t>Entertainment &amp; Culture</t>
  </si>
  <si>
    <t>Professional Sports Stadium</t>
  </si>
  <si>
    <t>Seat</t>
  </si>
  <si>
    <t>Fashion Center</t>
  </si>
  <si>
    <t>King County Assessment of Market Value of Civic Campus Properties</t>
  </si>
  <si>
    <t>2022 Median Income</t>
  </si>
  <si>
    <t>King County Affordable Rents--by income and family size</t>
  </si>
  <si>
    <t>King County Affordable Purchase Prices by income and family size</t>
  </si>
  <si>
    <t>Unit Cost</t>
  </si>
  <si>
    <t xml:space="preserve">  </t>
  </si>
  <si>
    <t>Acquisition Costs</t>
  </si>
  <si>
    <t>Phase</t>
  </si>
  <si>
    <t>Yesler Hotel</t>
  </si>
  <si>
    <t>Yesler</t>
  </si>
  <si>
    <t>ADR</t>
  </si>
  <si>
    <t>Average ADR</t>
  </si>
  <si>
    <t>Seattle</t>
  </si>
  <si>
    <t>01/1/28 to 12/31/28</t>
  </si>
  <si>
    <t>01/1/30 to 12/31/30</t>
  </si>
  <si>
    <t>01/1/31 to 12/31/31</t>
  </si>
  <si>
    <t>1/1/31 to 6/30/31</t>
  </si>
  <si>
    <t>1/1/32 to 6/30/32</t>
  </si>
  <si>
    <t>1/1/29 to 12/31/30</t>
  </si>
  <si>
    <t>7/1/29 to 6/30/32</t>
  </si>
  <si>
    <t>7/1/32 to 12/31/32</t>
  </si>
  <si>
    <t>7/1/29 to 6/30/31</t>
  </si>
  <si>
    <t>7/1/31 to 12/31/31</t>
  </si>
  <si>
    <t>7/1/31 to 6/30/34</t>
  </si>
  <si>
    <t>7/1/34 to 12/31/34</t>
  </si>
  <si>
    <t>7/1/32 to 6/30/35</t>
  </si>
  <si>
    <t>7/1/35 to 12/31/35</t>
  </si>
  <si>
    <t>Market Rents/Month</t>
  </si>
  <si>
    <t>70% AMI Affordable Rents/Month</t>
  </si>
  <si>
    <t>50% AMI Affordable Rents/Month</t>
  </si>
  <si>
    <t>Hotel Conversion from Office</t>
  </si>
  <si>
    <t>SRO Renovation</t>
  </si>
  <si>
    <t>Office to Affordable Housing</t>
  </si>
  <si>
    <t>Market Rent Apartment Type I Construction</t>
  </si>
  <si>
    <t>Affordable Appartment Type I Construction</t>
  </si>
  <si>
    <t>Affordable Appartment Type III Construction</t>
  </si>
  <si>
    <t>Below Grade Parking</t>
  </si>
  <si>
    <t>Municipal Fees and Allowances*</t>
  </si>
  <si>
    <t>Hotel</t>
  </si>
  <si>
    <t>942001090 942001095 942001115 942001120 942001140</t>
  </si>
  <si>
    <t>Parcel</t>
  </si>
  <si>
    <t>Address</t>
  </si>
  <si>
    <t>Land SF</t>
  </si>
  <si>
    <t>Building SF</t>
  </si>
  <si>
    <t>Fair Market Value</t>
  </si>
  <si>
    <t>Description</t>
  </si>
  <si>
    <t>Parking Lot</t>
  </si>
  <si>
    <t>412 4th Ave</t>
  </si>
  <si>
    <t>420 Sites Source CoStar</t>
  </si>
  <si>
    <t>Argyle Apts</t>
  </si>
  <si>
    <t>411 Jefferson St</t>
  </si>
  <si>
    <t>12 DU at 321,000 Unit</t>
  </si>
  <si>
    <t>6600 SF at $295/SF</t>
  </si>
  <si>
    <t>420 4th Ave</t>
  </si>
  <si>
    <t>CoStar Comp Notes</t>
  </si>
  <si>
    <t>Rehab Center</t>
  </si>
  <si>
    <t>410 4th Ave</t>
  </si>
  <si>
    <t>400 4th Ave</t>
  </si>
  <si>
    <t>Parking Structure</t>
  </si>
  <si>
    <t>19,980 SF at $295/SF</t>
  </si>
  <si>
    <t>Ground Level Retail SRO Bldg</t>
  </si>
  <si>
    <t>400 4th Avenue Retail/Parking Garage</t>
  </si>
  <si>
    <t>Social Services/Shelter (Commercial/Office)</t>
  </si>
  <si>
    <t>Flex Industrial Agile Manufacturing/Maker</t>
  </si>
  <si>
    <t xml:space="preserve">Parking Income commercial </t>
  </si>
  <si>
    <t>Steps</t>
  </si>
  <si>
    <t>Green Roof</t>
  </si>
  <si>
    <t>1% of Project Costs</t>
  </si>
  <si>
    <t>25% of Construction Int</t>
  </si>
  <si>
    <t>0.883% of Property Value</t>
  </si>
  <si>
    <t>Market Rate (Luxury)</t>
  </si>
  <si>
    <t>TOTAL MARKET RATE</t>
  </si>
  <si>
    <t>Affordable</t>
  </si>
  <si>
    <t>TOTAL AFFORDABLE</t>
  </si>
  <si>
    <t>Residential Totals:</t>
  </si>
  <si>
    <t>Retail - Grocery Store/Ground Level Retail</t>
  </si>
  <si>
    <t>10,000 SF at $275/SF</t>
  </si>
  <si>
    <t>6600 SF at $295/SF; Building is only $800K</t>
  </si>
  <si>
    <t>Affordable (Low)</t>
  </si>
  <si>
    <t>SRO (Low Income)</t>
  </si>
  <si>
    <t>Hard Costs for Construction (Renovate SRO)</t>
  </si>
  <si>
    <t>Hard Costs for Construction Retail</t>
  </si>
  <si>
    <t>Hard Costs for Construction Office/Commercial</t>
  </si>
  <si>
    <t>Hard Costs for Industrial</t>
  </si>
  <si>
    <t>Demolition Begins</t>
  </si>
  <si>
    <t>Demolition Ends</t>
  </si>
  <si>
    <t>Condo Units for sale</t>
  </si>
  <si>
    <t>Building has 95 stalls of parking in the basement.</t>
  </si>
  <si>
    <t>Remaining Parking</t>
  </si>
  <si>
    <t>Adding both NOI/Cap Rate and Net Res Sales</t>
  </si>
  <si>
    <t>Only Renovating OTR for floors 6-13</t>
  </si>
  <si>
    <t>Retail - Market</t>
  </si>
  <si>
    <t>Construction Begins</t>
  </si>
  <si>
    <t>Hospitality</t>
  </si>
  <si>
    <t>Lower Cascade</t>
  </si>
  <si>
    <t>4th Street Site</t>
  </si>
  <si>
    <t>Upper Cascade</t>
  </si>
  <si>
    <t>Cap Rate of 4.4% is blended with Residential and Retail</t>
  </si>
  <si>
    <t>Courthouse site parking will come from Goat Hill</t>
  </si>
  <si>
    <t>Unleveraged Project IRR</t>
  </si>
  <si>
    <t>Gross Room Income</t>
  </si>
  <si>
    <t>$36,000 per stall</t>
  </si>
  <si>
    <t>15% of Construction Int</t>
  </si>
  <si>
    <t xml:space="preserve">4th Street </t>
  </si>
  <si>
    <t>Lower Cascade Apts</t>
  </si>
  <si>
    <t>Rainier Tower Apts</t>
  </si>
  <si>
    <t>Courthouse Condos</t>
  </si>
  <si>
    <t>Chinook Condos</t>
  </si>
  <si>
    <t>Upper Cascade Apts</t>
  </si>
  <si>
    <t>Source: Costar - Seattle CBD</t>
  </si>
  <si>
    <r>
      <rPr>
        <b/>
        <sz val="10"/>
        <color theme="1"/>
        <rFont val="Arial"/>
        <family val="2"/>
      </rPr>
      <t>TEAM</t>
    </r>
    <r>
      <rPr>
        <sz val="10"/>
        <color theme="1"/>
        <rFont val="Arial"/>
        <family val="2"/>
      </rPr>
      <t xml:space="preserve"> #2024-14137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</si>
</sst>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"/>
    <numFmt numFmtId="166" formatCode="&quot;$&quot;#,##0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.0"/>
    <numFmt numFmtId="171" formatCode="0.0"/>
    <numFmt numFmtId="172" formatCode="[$-409]mmm\-yy;@"/>
    <numFmt numFmtId="173" formatCode="&quot;LESS:&quot;\ #%\ \ &quot;Selling Costs&quot;"/>
    <numFmt numFmtId="174" formatCode="&quot;LESS:&quot;\ #%\ &quot;Vacancy&quot;"/>
    <numFmt numFmtId="175" formatCode="&quot;Density=&quot;#\ &quot;Units/Acre&quot;"/>
    <numFmt numFmtId="176" formatCode="##,###&quot; SF&quot;"/>
    <numFmt numFmtId="177" formatCode="###&quot; SF&quot;"/>
    <numFmt numFmtId="178" formatCode="&quot;Studio---&quot;#%"/>
    <numFmt numFmtId="179" formatCode="###\ &quot;Units&quot;"/>
    <numFmt numFmtId="180" formatCode="##%\ \ \ &quot;Debt&quot;"/>
    <numFmt numFmtId="181" formatCode="##%\ \ \ &quot;Equity&quot;"/>
    <numFmt numFmtId="182" formatCode="#.##%\ "/>
    <numFmt numFmtId="183" formatCode="&quot;$&quot;#,##0;\(&quot;$&quot;#,##0\)"/>
    <numFmt numFmtId="184" formatCode="&quot;$&quot;#,##0.0;\(&quot;$&quot;#,##0.0\)"/>
    <numFmt numFmtId="185" formatCode="&quot;$&quot;#,##0.00;\(&quot;$&quot;#,##0.00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&quot;\&quot;_(#,##0.00_);&quot;\&quot;\(#,##0.00\)"/>
    <numFmt numFmtId="193" formatCode="#,##0.00_);\(#,##0.00\);0.00_);@_)"/>
    <numFmt numFmtId="194" formatCode="\€_(#,##0.00_);\€\(#,##0.00\);\€_(0.00_);@_)"/>
    <numFmt numFmtId="195" formatCode="#,##0_)\x;\(#,##0\)\x;0_)\x;@_)_x"/>
    <numFmt numFmtId="196" formatCode="#,##0.0_)\x;\(#,##0.0\)\x"/>
    <numFmt numFmtId="197" formatCode="#,##0_)_x;\(#,##0\)_x;0_)_x;@_)_x"/>
    <numFmt numFmtId="198" formatCode="m/d/yy\ h:mm\ AM/PM"/>
    <numFmt numFmtId="199" formatCode="#,##0.0_)_x;\(#,##0.0\)_x"/>
    <numFmt numFmtId="200" formatCode="0.0_)\%;\(0.0\)\%"/>
    <numFmt numFmtId="201" formatCode="mmmm\ d\,\ yyyy"/>
    <numFmt numFmtId="202" formatCode="#,##0.0_)_%;\(#,##0.0\)_%"/>
    <numFmt numFmtId="203" formatCode="General_)"/>
    <numFmt numFmtId="204" formatCode="0.0\ \x"/>
    <numFmt numFmtId="205" formatCode="&quot;$&quot;#,##0.000_);\(&quot;$&quot;#,##0.000\)"/>
    <numFmt numFmtId="206" formatCode="m\-d\-yy"/>
    <numFmt numFmtId="207" formatCode="#,##0_);\(#,##0\);&quot;- &quot;"/>
    <numFmt numFmtId="208" formatCode="0.0%;\(0.0%\);&quot;- &quot;"/>
    <numFmt numFmtId="209" formatCode="mm/dd/yy_)"/>
    <numFmt numFmtId="210" formatCode="#,##0;\-#,##0;&quot;-&quot;"/>
    <numFmt numFmtId="211" formatCode="#,##0.00;\(#,##0.00"/>
    <numFmt numFmtId="212" formatCode="d\ mmm\ yy"/>
    <numFmt numFmtId="213" formatCode="#,##0.0_);[Red]\(#,##0.0\)"/>
    <numFmt numFmtId="214" formatCode="_(* #,##0.0_);_(* \(#,##0.0\);_(* &quot;-&quot;?_);_(@_)"/>
    <numFmt numFmtId="215" formatCode="#,##0_%_);\(#,##0\)_%;**;@_%_)"/>
    <numFmt numFmtId="216" formatCode="#,##0_%_);\(#,##0\)_%;#,##0_%_);@_%_)"/>
    <numFmt numFmtId="217" formatCode="&quot;$&quot;#,##0\ ;\(&quot;$&quot;#,##0\)"/>
    <numFmt numFmtId="218" formatCode="&quot;$&quot;#,##0.0\ ;\(&quot;$&quot;#,##0.0\)"/>
    <numFmt numFmtId="219" formatCode="0.00\x"/>
    <numFmt numFmtId="220" formatCode="m/d/yyyy\ \ h:mm\ AM/PM"/>
    <numFmt numFmtId="221" formatCode="#,##0;\(#,##0\)"/>
    <numFmt numFmtId="222" formatCode="#,##0.0;\(#,##0.0\)"/>
    <numFmt numFmtId="223" formatCode="\ #,##0.0_);\(#,##0.0\);\-\ \ ??"/>
    <numFmt numFmtId="224" formatCode="&quot;$&quot;#,##0.0_);\(&quot;$&quot;#,##0.0\)"/>
    <numFmt numFmtId="225" formatCode="&quot;$&quot;#,##0.0"/>
    <numFmt numFmtId="226" formatCode="_-* #,##0.00\ [$€-1]_-;\-* #,##0.00\ [$€-1]_-;_-* &quot;-&quot;??\ [$€-1]_-"/>
    <numFmt numFmtId="227" formatCode="00"/>
    <numFmt numFmtId="228" formatCode=";;;"/>
    <numFmt numFmtId="229" formatCode="0.00_)"/>
    <numFmt numFmtId="230" formatCode="mm/yyyy"/>
    <numFmt numFmtId="231" formatCode="&quot;Standard&quot;_);;&quot;Reverse&quot;_)"/>
    <numFmt numFmtId="232" formatCode="_-* #,##0_-;\-* #,##0_-;_-* &quot;-&quot;_-;_-@_-"/>
    <numFmt numFmtId="233" formatCode="_-* #,##0.00_-;\-* #,##0.00_-;_-* &quot;-&quot;??_-;_-@_-"/>
    <numFmt numFmtId="234" formatCode="#,##0.00&quot; F&quot;_);\(#,##0.00&quot; F&quot;\)"/>
    <numFmt numFmtId="235" formatCode="#,##0&quot; $&quot;;\-#,##0&quot; $&quot;"/>
    <numFmt numFmtId="236" formatCode="_-* #,##0\ _F_-;\-* #,##0\ _F_-;_-* &quot;-&quot;\ _F_-;_-@_-"/>
    <numFmt numFmtId="237" formatCode="_-* #,##0.00\ &quot;F&quot;_-;\-* #,##0.00\ &quot;F&quot;_-;_-* &quot;-&quot;??\ &quot;F&quot;_-;_-@_-"/>
    <numFmt numFmtId="238" formatCode="_-* #,##0\ &quot;Esc.&quot;_-;\-* #,##0\ &quot;Esc.&quot;_-;_-* &quot;-&quot;\ &quot;Esc.&quot;_-;_-@_-"/>
    <numFmt numFmtId="239" formatCode="#,##0.00&quot;$&quot;;[Red]\-#,##0.00&quot;$&quot;"/>
    <numFmt numFmtId="240" formatCode="#,##0&quot; F&quot;_);[Red]\(#,##0&quot; F&quot;\)"/>
    <numFmt numFmtId="241" formatCode="#,##0.00&quot; F&quot;_);[Red]\(#,##0.00&quot; F&quot;\)"/>
    <numFmt numFmtId="242" formatCode="_-* #,##0\ &quot;F&quot;_-;\-* #,##0\ &quot;F&quot;_-;_-* &quot;-&quot;\ &quot;F&quot;_-;_-@_-"/>
    <numFmt numFmtId="243" formatCode="0.0_x_);\(0.0\)_x"/>
    <numFmt numFmtId="244" formatCode="0.0\x_);\(0.0\x\)"/>
    <numFmt numFmtId="245" formatCode="0.0\x_)_);&quot;NM&quot;_x_)_);0.0\x_)_);@_%_)"/>
    <numFmt numFmtId="246" formatCode="_(* #,##0.0000_);_(* \(#,##0.0000\);_(* &quot;-&quot;??_);_(@_)"/>
    <numFmt numFmtId="247" formatCode="0.0%;\(0.0%\)"/>
    <numFmt numFmtId="248" formatCode="#,##0_ "/>
    <numFmt numFmtId="249" formatCode="&quot;$&quot;#,##0.00_);\(&quot;$&quot;#,##0.00\);\-\ ??"/>
    <numFmt numFmtId="250" formatCode="[&lt;=9999999]###\-####;\(###\)\ ###\-####"/>
    <numFmt numFmtId="251" formatCode="#,##0.0\%_);\(#,##0.0\%\);#,##0.0\%_);@_%_)"/>
    <numFmt numFmtId="252" formatCode="#,##0.0_x\);\(#,##0.0\)"/>
    <numFmt numFmtId="253" formatCode="_(&quot;$&quot;* #,##0.0000000000000_);_(&quot;$&quot;* \(#,##0.0000000000000\);_(&quot;$&quot;* &quot;-&quot;??_);_(@_)"/>
    <numFmt numFmtId="254" formatCode="_-* #,##0\ _E_s_c_._-;\-* #,##0\ _E_s_c_._-;_-* &quot;-&quot;\ _E_s_c_._-;_-@_-"/>
    <numFmt numFmtId="255" formatCode="_(&quot;$&quot;* #,##0.000_);_(&quot;$&quot;* \(#,##0.000\);_(&quot;$&quot;* &quot;-&quot;??_);_(@_)"/>
    <numFmt numFmtId="256" formatCode="_-&quot;L.&quot;\ * #,##0_-;\-&quot;L.&quot;\ * #,##0_-;_-&quot;L.&quot;\ * &quot;-&quot;_-;_-@_-"/>
    <numFmt numFmtId="257" formatCode="_-&quot;L.&quot;\ * #,##0.00_-;\-&quot;L.&quot;\ * #,##0.00_-;_-&quot;L.&quot;\ * &quot;-&quot;??_-;_-@_-"/>
    <numFmt numFmtId="258" formatCode="0\ \ ;\(0\)\ \ \ "/>
    <numFmt numFmtId="259" formatCode="&quot;Yes&quot;;;&quot;No&quot;"/>
    <numFmt numFmtId="260" formatCode="#,###\ &quot;SF Retail Income&quot;"/>
    <numFmt numFmtId="261" formatCode="##%\ &quot;of GMP costs&quot;"/>
    <numFmt numFmtId="262" formatCode="&quot;$&quot;##,###\ &quot;per unit&quot;"/>
    <numFmt numFmtId="263" formatCode="##%\ &quot;of total hard costs&quot;"/>
    <numFmt numFmtId="264" formatCode="&quot;$&quot;###\ &quot;per SF of retail&quot;"/>
    <numFmt numFmtId="265" formatCode="##.00%\ &quot;of loan amount&quot;"/>
    <numFmt numFmtId="266" formatCode="&quot;Residual land value at&quot;\ ##%\ &quot;ROC&quot;"/>
    <numFmt numFmtId="267" formatCode="&quot;$&quot;###\ &quot;per SF net leasable&quot;"/>
    <numFmt numFmtId="268" formatCode="#\ &quot;Months of OPEX&quot;"/>
    <numFmt numFmtId="269" formatCode="#.#%\ &quot;of soft costs&quot;"/>
    <numFmt numFmtId="270" formatCode="#%\ &quot;on a five year term&quot;"/>
    <numFmt numFmtId="271" formatCode="##%\ &quot;of Project Budget&quot;"/>
    <numFmt numFmtId="272" formatCode="&quot;$&quot;##,###\ &quot;per stall&quot;"/>
    <numFmt numFmtId="273" formatCode="&quot;Gap at&quot;\ ##%"/>
    <numFmt numFmtId="274" formatCode="##.0%\ &quot;of gross revenue&quot;"/>
    <numFmt numFmtId="275" formatCode="##%\ &quot;of loan amount&quot;"/>
    <numFmt numFmtId="276" formatCode="&quot;Net Affordable Mortage at&quot;\ ##%"/>
    <numFmt numFmtId="277" formatCode="&quot;plus Down Payment of&quot;\ ##%"/>
    <numFmt numFmtId="278" formatCode="##\ &quot;stories&quot;"/>
    <numFmt numFmtId="279" formatCode="&quot;Building footprint at&quot;\ ##\ &quot;stories&quot;"/>
    <numFmt numFmtId="280" formatCode="&quot;Building area at&quot;\ ##%\ &quot;circulation&quot;"/>
    <numFmt numFmtId="281" formatCode="&quot;Parking area at&quot;\ ###\ &quot;sf per stall&quot;"/>
    <numFmt numFmtId="282" formatCode="#,###\ &quot;SF&quot;"/>
    <numFmt numFmtId="283" formatCode="&quot;Fee/unit=&quot;&quot;$&quot;##,###"/>
    <numFmt numFmtId="284" formatCode="&quot;Retail&quot;\ #,###\ &quot;SF&quot;"/>
    <numFmt numFmtId="285" formatCode="&quot;Office&quot;\ #,###\ &quot;SF&quot;"/>
    <numFmt numFmtId="286" formatCode="&quot;Guest parking at&quot;\ ###\ &quot;sf per stall&quot;"/>
    <numFmt numFmtId="287" formatCode="&quot;$&quot;###\ &quot;per SF net lease or sale&quot;"/>
    <numFmt numFmtId="288" formatCode="&quot;$&quot;###\ &quot;per SF net sale&quot;"/>
    <numFmt numFmtId="289" formatCode="##\ &quot;Units&quot;"/>
    <numFmt numFmtId="290" formatCode="#,###\ &quot;Units&quot;"/>
    <numFmt numFmtId="291" formatCode="m/d/yy;@"/>
    <numFmt numFmtId="292" formatCode="&quot;Fee/SF=&quot;&quot;$&quot;##,###"/>
    <numFmt numFmtId="293" formatCode="&quot;$&quot;##,###\ &quot;per sf&quot;"/>
    <numFmt numFmtId="294" formatCode="&quot;Commercial&quot;\ #,###\ &quot;SF&quot;"/>
    <numFmt numFmtId="295" formatCode="&quot;Feasible Project Costs at&quot;\ ##%\ &quot;ROC&quot;"/>
    <numFmt numFmtId="296" formatCode="###\ &quot;Hotel rooms&quot;"/>
    <numFmt numFmtId="297" formatCode="&quot;Monthly Revenues at&quot;\ ##%\ &quot;occupancy&quot;"/>
    <numFmt numFmtId="298" formatCode="&quot;1 bedroom unit at&quot;\ ###\ &quot;SF&quot;"/>
    <numFmt numFmtId="299" formatCode="&quot;2 bedroom unit at&quot;\ ###\ &quot;SF&quot;"/>
    <numFmt numFmtId="300" formatCode="&quot;3 bedroom unit at&quot;\ ###\ &quot;SF&quot;"/>
    <numFmt numFmtId="301" formatCode="#,###\ &quot;SF Retail/Dining/Event Income&quot;"/>
    <numFmt numFmtId="302" formatCode="&quot;parking fee per day&quot;\ \ &quot;$&quot;###"/>
    <numFmt numFmtId="303" formatCode="&quot;usage percent&quot;\ \ ###%"/>
    <numFmt numFmtId="304" formatCode="######\ &quot;SF of Building&quot;"/>
    <numFmt numFmtId="305" formatCode="#\ &quot;Person&quot;"/>
    <numFmt numFmtId="306" formatCode="&quot;$&quot;###\ &quot;per SF&quot;"/>
    <numFmt numFmtId="307" formatCode="&quot;$&quot;#\ &quot;per SF&quot;"/>
    <numFmt numFmtId="308" formatCode="##%\ &quot;of Land Value&quot;"/>
    <numFmt numFmtId="309" formatCode="&quot;Studios&quot;\ #%"/>
    <numFmt numFmtId="310" formatCode="&quot;1 Bed&quot;\ #%"/>
    <numFmt numFmtId="311" formatCode="&quot;2 Bed&quot;\ #%"/>
    <numFmt numFmtId="312" formatCode="&quot;3 Bed&quot;\ #%"/>
    <numFmt numFmtId="313" formatCode="&quot;3 Bed/3 Bath&quot;\ #%"/>
    <numFmt numFmtId="314" formatCode="#%\ &quot;1 BR and Office/Den Condos&quot;"/>
    <numFmt numFmtId="315" formatCode="#%\ &quot;2 BR and Office/Den Condos&quot;"/>
  </numFmts>
  <fonts count="208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12"/>
      <name val="Arial MT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11"/>
      <name val="ＭＳ Ｐゴシック"/>
      <charset val="128"/>
    </font>
    <font>
      <sz val="8"/>
      <name val="Palatino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8"/>
      <name val="Palatino"/>
      <family val="1"/>
    </font>
    <font>
      <b/>
      <sz val="12"/>
      <name val="Helv"/>
    </font>
    <font>
      <b/>
      <i/>
      <sz val="10"/>
      <name val="Helv"/>
      <family val="2"/>
    </font>
    <font>
      <b/>
      <sz val="8"/>
      <name val="Helv"/>
      <family val="2"/>
    </font>
    <font>
      <sz val="7"/>
      <color indexed="12"/>
      <name val="Times New Roman"/>
      <family val="1"/>
    </font>
    <font>
      <sz val="9"/>
      <name val="Tahoma"/>
      <family val="2"/>
    </font>
    <font>
      <sz val="8"/>
      <name val="Times"/>
      <family val="1"/>
    </font>
    <font>
      <sz val="9"/>
      <color indexed="8"/>
      <name val="Times New Roman"/>
      <family val="1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  <family val="1"/>
    </font>
    <font>
      <b/>
      <sz val="12"/>
      <name val="SWISS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8"/>
      <name val="Helvetica-Narrow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sz val="9"/>
      <color indexed="8"/>
      <name val="Helvetica-Narrow"/>
    </font>
    <font>
      <sz val="8"/>
      <color indexed="13"/>
      <name val="Helvetica-Narrow"/>
    </font>
    <font>
      <b/>
      <sz val="7"/>
      <name val="Helvetica-Narrow"/>
      <family val="2"/>
    </font>
    <font>
      <b/>
      <sz val="7"/>
      <name val="GillSans"/>
    </font>
    <font>
      <b/>
      <sz val="9"/>
      <name val="Tahoma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b/>
      <sz val="24"/>
      <name val="Courier New"/>
      <family val="3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sz val="10"/>
      <name val="MS Serif"/>
      <family val="1"/>
    </font>
    <font>
      <sz val="10"/>
      <name val="Courier"/>
      <family val="3"/>
    </font>
    <font>
      <sz val="10"/>
      <name val="Book Antiqua"/>
      <family val="1"/>
    </font>
    <font>
      <sz val="10"/>
      <name val="Times New Roman Special G1"/>
    </font>
    <font>
      <sz val="10"/>
      <color indexed="24"/>
      <name val="Arial"/>
      <family val="2"/>
    </font>
    <font>
      <sz val="9"/>
      <name val="Times New Roman"/>
      <family val="1"/>
    </font>
    <font>
      <u/>
      <sz val="8"/>
      <color indexed="12"/>
      <name val="Times New Roman"/>
      <family val="1"/>
    </font>
    <font>
      <sz val="9"/>
      <name val="Arial"/>
      <family val="2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i/>
      <sz val="8"/>
      <color indexed="12"/>
      <name val="Arial"/>
      <family val="2"/>
    </font>
    <font>
      <sz val="10"/>
      <color indexed="16"/>
      <name val="MS Serif"/>
      <family val="1"/>
    </font>
    <font>
      <sz val="7"/>
      <name val="Palatino"/>
      <family val="1"/>
    </font>
    <font>
      <sz val="9"/>
      <name val="CharterITC BT"/>
      <family val="1"/>
    </font>
    <font>
      <b/>
      <sz val="10"/>
      <name val="Tahoma"/>
      <family val="2"/>
    </font>
    <font>
      <sz val="8"/>
      <name val="Arial"/>
      <family val="2"/>
    </font>
    <font>
      <b/>
      <sz val="12"/>
      <color indexed="9"/>
      <name val="Tms Rmn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i/>
      <sz val="22"/>
      <name val="Times New Roman"/>
      <family val="1"/>
    </font>
    <font>
      <b/>
      <sz val="8"/>
      <name val="MS Sans Serif"/>
      <family val="2"/>
    </font>
    <font>
      <b/>
      <sz val="24"/>
      <name val="Geneva"/>
    </font>
    <font>
      <b/>
      <u/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name val="Geneva"/>
    </font>
    <font>
      <sz val="14"/>
      <name val="Architecture"/>
      <family val="2"/>
    </font>
    <font>
      <sz val="7"/>
      <name val="Small Fonts"/>
      <family val="2"/>
    </font>
    <font>
      <sz val="11"/>
      <name val="明朝"/>
      <family val="1"/>
      <charset val="128"/>
    </font>
    <font>
      <sz val="10"/>
      <name val="Palatino"/>
      <family val="1"/>
    </font>
    <font>
      <sz val="10"/>
      <name val="ＭＳ Ｐゴシック"/>
      <family val="3"/>
      <charset val="128"/>
    </font>
    <font>
      <sz val="11"/>
      <name val="Times New Roman"/>
      <family val="1"/>
    </font>
    <font>
      <sz val="11"/>
      <name val="‚l‚r –¾’©"/>
      <family val="3"/>
      <charset val="128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b/>
      <sz val="14"/>
      <color indexed="12"/>
      <name val="Arial"/>
      <family val="2"/>
    </font>
    <font>
      <sz val="22"/>
      <name val="UBSHeadline"/>
      <family val="1"/>
    </font>
    <font>
      <sz val="10"/>
      <name val="Tms Rm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10"/>
      <name val="GillSans Light"/>
    </font>
    <font>
      <sz val="9.5"/>
      <color indexed="23"/>
      <name val="Helvetica-Black"/>
    </font>
    <font>
      <b/>
      <sz val="16"/>
      <color indexed="16"/>
      <name val="Arial"/>
      <family val="2"/>
    </font>
    <font>
      <sz val="8"/>
      <name val="MS Sans Serif"/>
      <family val="2"/>
    </font>
    <font>
      <sz val="10"/>
      <color indexed="14"/>
      <name val="Century Schoolbook"/>
      <family val="1"/>
    </font>
    <font>
      <b/>
      <sz val="11"/>
      <name val="Helv"/>
    </font>
    <font>
      <b/>
      <u/>
      <sz val="10"/>
      <name val="Tahoma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sz val="9"/>
      <name val="Helvetica-Black"/>
    </font>
    <font>
      <sz val="9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ahoma"/>
      <family val="2"/>
    </font>
    <font>
      <u/>
      <sz val="8"/>
      <name val="Times New Roman"/>
      <family val="1"/>
    </font>
    <font>
      <b/>
      <sz val="12"/>
      <name val="CG Times (W1)"/>
      <family val="1"/>
    </font>
    <font>
      <b/>
      <i/>
      <sz val="12"/>
      <name val="CG Times (W1)"/>
      <family val="1"/>
    </font>
    <font>
      <b/>
      <i/>
      <sz val="24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b/>
      <sz val="10"/>
      <color indexed="30"/>
      <name val="Arial"/>
      <family val="2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9"/>
      <name val="Tms Rmn"/>
    </font>
    <font>
      <sz val="7"/>
      <name val="Times New Roman"/>
      <family val="1"/>
    </font>
    <font>
      <b/>
      <i/>
      <sz val="8"/>
      <name val="Helv"/>
    </font>
    <font>
      <sz val="1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b/>
      <sz val="10"/>
      <color indexed="81"/>
      <name val="Calibri"/>
      <family val="2"/>
    </font>
    <font>
      <sz val="14"/>
      <color indexed="81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rgb="FF4C4C4C"/>
      <name val="Calibri"/>
      <family val="2"/>
      <scheme val="minor"/>
    </font>
    <font>
      <sz val="12"/>
      <color rgb="FF4C4C4C"/>
      <name val="Calibri"/>
      <family val="2"/>
      <scheme val="minor"/>
    </font>
    <font>
      <sz val="12"/>
      <color theme="1"/>
      <name val="PT Sans Narrow"/>
      <family val="2"/>
      <charset val="204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3"/>
      <name val="Arial"/>
      <family val="2"/>
    </font>
    <font>
      <b/>
      <sz val="10"/>
      <color rgb="FF0432FF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/>
      <name val="Arial"/>
      <family val="2"/>
    </font>
    <font>
      <b/>
      <sz val="10"/>
      <color rgb="FFFFFF00"/>
      <name val="Arial"/>
      <family val="2"/>
    </font>
    <font>
      <b/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4"/>
      <name val="Arial"/>
      <family val="2"/>
    </font>
    <font>
      <b/>
      <sz val="10"/>
      <color rgb="FF00B0F0"/>
      <name val="Arial"/>
      <family val="2"/>
    </font>
    <font>
      <b/>
      <sz val="9"/>
      <color theme="1"/>
      <name val="Arial"/>
      <family val="2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PT Sans Narrow"/>
      <family val="2"/>
      <charset val="204"/>
    </font>
    <font>
      <sz val="11"/>
      <color rgb="FF20272C"/>
      <name val="Arial"/>
      <family val="2"/>
    </font>
    <font>
      <sz val="10"/>
      <color rgb="FF0432FF"/>
      <name val="Arial"/>
      <family val="2"/>
    </font>
    <font>
      <b/>
      <sz val="8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4"/>
      <color theme="1"/>
      <name val="Arial"/>
      <family val="2"/>
    </font>
    <font>
      <b/>
      <u/>
      <sz val="10"/>
      <color theme="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lightGray">
        <fgColor indexed="15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826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3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30"/>
      </left>
      <right style="thin">
        <color indexed="30"/>
      </right>
      <top style="thick">
        <color indexed="30"/>
      </top>
      <bottom style="thick">
        <color indexed="30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 tint="0.3999755851924192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61">
    <xf numFmtId="0" fontId="0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18" fillId="0" borderId="0"/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3" fontId="25" fillId="0" borderId="0">
      <alignment horizontal="right"/>
    </xf>
    <xf numFmtId="184" fontId="25" fillId="0" borderId="0">
      <alignment horizontal="right"/>
    </xf>
    <xf numFmtId="185" fontId="25" fillId="0" borderId="0">
      <alignment horizontal="right"/>
    </xf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12" borderId="0" applyNumberFormat="0" applyFont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6" applyNumberFormat="0" applyFill="0" applyAlignment="0" applyProtection="0"/>
    <xf numFmtId="0" fontId="31" fillId="0" borderId="17" applyNumberFormat="0" applyFill="0" applyProtection="0">
      <alignment horizontal="center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204" fontId="33" fillId="0" borderId="0">
      <alignment horizontal="left"/>
      <protection locked="0"/>
    </xf>
    <xf numFmtId="38" fontId="9" fillId="0" borderId="18"/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39" fontId="36" fillId="0" borderId="0">
      <alignment horizontal="center"/>
    </xf>
    <xf numFmtId="205" fontId="37" fillId="0" borderId="0">
      <protection locked="0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14" fontId="38" fillId="0" borderId="0"/>
    <xf numFmtId="206" fontId="23" fillId="13" borderId="19">
      <alignment horizontal="center" vertical="center"/>
    </xf>
    <xf numFmtId="0" fontId="39" fillId="0" borderId="0"/>
    <xf numFmtId="37" fontId="21" fillId="0" borderId="0" applyFont="0" applyAlignment="0">
      <alignment horizontal="centerContinuous" vertical="top"/>
    </xf>
    <xf numFmtId="0" fontId="25" fillId="0" borderId="0">
      <alignment horizontal="center" wrapText="1"/>
      <protection locked="0"/>
    </xf>
    <xf numFmtId="0" fontId="1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7" fontId="15" fillId="0" borderId="0" applyFont="0" applyFill="0" applyBorder="0" applyAlignment="0"/>
    <xf numFmtId="208" fontId="40" fillId="0" borderId="0" applyFont="0" applyFill="0" applyBorder="0" applyAlignment="0">
      <alignment horizontal="right"/>
    </xf>
    <xf numFmtId="0" fontId="41" fillId="0" borderId="0" applyNumberFormat="0" applyFill="0" applyBorder="0" applyAlignment="0" applyProtection="0"/>
    <xf numFmtId="0" fontId="37" fillId="0" borderId="0">
      <protection locked="0"/>
    </xf>
    <xf numFmtId="209" fontId="37" fillId="0" borderId="0">
      <alignment horizontal="right"/>
      <protection locked="0"/>
    </xf>
    <xf numFmtId="7" fontId="42" fillId="0" borderId="0">
      <alignment horizontal="right"/>
      <protection locked="0"/>
    </xf>
    <xf numFmtId="203" fontId="37" fillId="0" borderId="0">
      <alignment horizontal="right"/>
      <protection locked="0"/>
    </xf>
    <xf numFmtId="0" fontId="43" fillId="0" borderId="0" applyNumberFormat="0" applyFill="0" applyBorder="0" applyAlignment="0" applyProtection="0"/>
    <xf numFmtId="0" fontId="44" fillId="0" borderId="0"/>
    <xf numFmtId="0" fontId="45" fillId="0" borderId="20"/>
    <xf numFmtId="0" fontId="46" fillId="13" borderId="21" applyAlignment="0">
      <alignment horizontal="center"/>
    </xf>
    <xf numFmtId="0" fontId="47" fillId="0" borderId="22"/>
    <xf numFmtId="0" fontId="25" fillId="0" borderId="23" applyNumberFormat="0" applyFont="0" applyFill="0" applyAlignment="0" applyProtection="0"/>
    <xf numFmtId="203" fontId="15" fillId="0" borderId="24" applyNumberFormat="0" applyFill="0" applyAlignment="0" applyProtection="0"/>
    <xf numFmtId="0" fontId="48" fillId="0" borderId="25"/>
    <xf numFmtId="0" fontId="48" fillId="0" borderId="26"/>
    <xf numFmtId="0" fontId="49" fillId="0" borderId="0"/>
    <xf numFmtId="0" fontId="50" fillId="0" borderId="0" applyFont="0" applyFill="0" applyBorder="0" applyAlignment="0" applyProtection="0"/>
    <xf numFmtId="0" fontId="51" fillId="0" borderId="0"/>
    <xf numFmtId="210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11" fontId="52" fillId="0" borderId="11" applyFill="0" applyBorder="0" applyAlignment="0" applyProtection="0">
      <alignment horizontal="right"/>
    </xf>
    <xf numFmtId="212" fontId="53" fillId="0" borderId="0" applyFont="0" applyFill="0"/>
    <xf numFmtId="39" fontId="25" fillId="14" borderId="0" applyNumberFormat="0" applyFont="0" applyBorder="0" applyAlignment="0"/>
    <xf numFmtId="213" fontId="15" fillId="0" borderId="0" applyFill="0" applyBorder="0" applyProtection="0"/>
    <xf numFmtId="0" fontId="11" fillId="0" borderId="12" applyNumberFormat="0" applyFont="0" applyFill="0" applyProtection="0">
      <alignment horizontal="centerContinuous" vertical="center"/>
    </xf>
    <xf numFmtId="0" fontId="54" fillId="0" borderId="27" applyNumberFormat="0" applyFill="0" applyProtection="0">
      <alignment horizontal="center" vertical="center"/>
    </xf>
    <xf numFmtId="0" fontId="55" fillId="0" borderId="28" applyNumberFormat="0" applyFill="0" applyBorder="0" applyProtection="0">
      <alignment horizontal="right" vertical="center"/>
    </xf>
    <xf numFmtId="0" fontId="11" fillId="0" borderId="0" applyNumberFormat="0" applyFill="0" applyBorder="0" applyProtection="0">
      <alignment horizontal="center" vertical="center"/>
    </xf>
    <xf numFmtId="0" fontId="56" fillId="13" borderId="0" applyNumberFormat="0">
      <alignment horizontal="center"/>
    </xf>
    <xf numFmtId="0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27" fillId="0" borderId="0" applyFont="0" applyFill="0" applyBorder="0" applyAlignment="0" applyProtection="0">
      <alignment horizontal="right"/>
    </xf>
    <xf numFmtId="215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58" fillId="0" borderId="0"/>
    <xf numFmtId="0" fontId="59" fillId="0" borderId="0"/>
    <xf numFmtId="3" fontId="60" fillId="0" borderId="0" applyFill="0" applyBorder="0" applyAlignment="0" applyProtection="0"/>
    <xf numFmtId="0" fontId="58" fillId="0" borderId="0"/>
    <xf numFmtId="41" fontId="46" fillId="0" borderId="29">
      <alignment horizontal="center"/>
      <protection locked="0" hidden="1"/>
    </xf>
    <xf numFmtId="41" fontId="46" fillId="0" borderId="30">
      <alignment horizontal="center"/>
      <protection locked="0"/>
    </xf>
    <xf numFmtId="41" fontId="61" fillId="0" borderId="20">
      <protection hidden="1"/>
    </xf>
    <xf numFmtId="41" fontId="62" fillId="0" borderId="20"/>
    <xf numFmtId="41" fontId="46" fillId="0" borderId="20">
      <alignment horizontal="right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59" fillId="0" borderId="0"/>
    <xf numFmtId="0" fontId="58" fillId="0" borderId="0"/>
    <xf numFmtId="0" fontId="15" fillId="0" borderId="0" applyFont="0" applyFill="0" applyBorder="0" applyAlignment="0" applyProtection="0"/>
    <xf numFmtId="8" fontId="65" fillId="0" borderId="0" applyBorder="0"/>
    <xf numFmtId="0" fontId="27" fillId="0" borderId="0" applyFont="0" applyFill="0" applyBorder="0" applyAlignment="0" applyProtection="0">
      <alignment horizontal="right"/>
    </xf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0"/>
    <xf numFmtId="44" fontId="61" fillId="0" borderId="20">
      <alignment horizontal="center"/>
      <protection hidden="1"/>
    </xf>
    <xf numFmtId="39" fontId="38" fillId="0" borderId="0">
      <alignment horizontal="right"/>
    </xf>
    <xf numFmtId="14" fontId="46" fillId="0" borderId="30">
      <alignment horizontal="center"/>
    </xf>
    <xf numFmtId="0" fontId="27" fillId="0" borderId="0" applyFont="0" applyFill="0" applyBorder="0" applyAlignment="0" applyProtection="0"/>
    <xf numFmtId="219" fontId="15" fillId="0" borderId="0">
      <alignment horizontal="right"/>
    </xf>
    <xf numFmtId="14" fontId="24" fillId="0" borderId="0" applyFill="0" applyBorder="0" applyAlignment="0"/>
    <xf numFmtId="14" fontId="25" fillId="0" borderId="0">
      <alignment horizontal="right"/>
    </xf>
    <xf numFmtId="14" fontId="69" fillId="0" borderId="0">
      <alignment horizontal="right"/>
      <protection locked="0"/>
    </xf>
    <xf numFmtId="220" fontId="70" fillId="0" borderId="0" applyFill="0" applyProtection="0">
      <alignment vertical="center"/>
    </xf>
    <xf numFmtId="221" fontId="25" fillId="0" borderId="0">
      <alignment horizontal="right"/>
    </xf>
    <xf numFmtId="222" fontId="25" fillId="0" borderId="0">
      <alignment horizontal="right"/>
    </xf>
    <xf numFmtId="223" fontId="15" fillId="0" borderId="0">
      <alignment horizontal="right"/>
    </xf>
    <xf numFmtId="8" fontId="15" fillId="0" borderId="0" applyFill="0" applyBorder="0" applyProtection="0"/>
    <xf numFmtId="224" fontId="25" fillId="0" borderId="0"/>
    <xf numFmtId="224" fontId="71" fillId="0" borderId="0">
      <protection locked="0"/>
    </xf>
    <xf numFmtId="7" fontId="25" fillId="0" borderId="0"/>
    <xf numFmtId="0" fontId="27" fillId="0" borderId="31" applyNumberFormat="0" applyFont="0" applyFill="0" applyAlignment="0" applyProtection="0"/>
    <xf numFmtId="42" fontId="72" fillId="0" borderId="0" applyFill="0" applyBorder="0" applyAlignment="0" applyProtection="0"/>
    <xf numFmtId="171" fontId="9" fillId="15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71" fontId="73" fillId="16" borderId="32" applyNumberFormat="0" applyAlignment="0">
      <alignment horizontal="center" vertical="center"/>
    </xf>
    <xf numFmtId="171" fontId="74" fillId="16" borderId="0">
      <alignment horizontal="center" vertical="center"/>
    </xf>
    <xf numFmtId="14" fontId="9" fillId="16" borderId="0">
      <alignment horizontal="center" vertical="center"/>
    </xf>
    <xf numFmtId="17" fontId="68" fillId="16" borderId="0">
      <alignment horizontal="center" vertical="center"/>
    </xf>
    <xf numFmtId="171" fontId="16" fillId="0" borderId="0">
      <alignment vertical="center"/>
    </xf>
    <xf numFmtId="171" fontId="75" fillId="16" borderId="0">
      <alignment vertical="center"/>
    </xf>
    <xf numFmtId="171" fontId="76" fillId="16" borderId="0">
      <alignment vertical="center"/>
    </xf>
    <xf numFmtId="167" fontId="77" fillId="16" borderId="33">
      <alignment vertical="center"/>
    </xf>
    <xf numFmtId="0" fontId="9" fillId="16" borderId="33">
      <alignment vertical="center"/>
    </xf>
    <xf numFmtId="37" fontId="68" fillId="16" borderId="0">
      <alignment horizontal="left" vertical="center"/>
    </xf>
    <xf numFmtId="171" fontId="68" fillId="16" borderId="0">
      <alignment horizontal="center" vertical="center"/>
    </xf>
    <xf numFmtId="225" fontId="40" fillId="16" borderId="0">
      <alignment horizontal="right" vertical="center"/>
    </xf>
    <xf numFmtId="165" fontId="40" fillId="16" borderId="0">
      <alignment horizontal="right" vertical="center"/>
    </xf>
    <xf numFmtId="167" fontId="78" fillId="16" borderId="0">
      <alignment horizontal="right" vertical="center"/>
    </xf>
    <xf numFmtId="167" fontId="78" fillId="16" borderId="9">
      <alignment horizontal="right" vertical="center"/>
    </xf>
    <xf numFmtId="165" fontId="79" fillId="16" borderId="33">
      <alignment horizontal="right" vertical="center"/>
    </xf>
    <xf numFmtId="170" fontId="30" fillId="16" borderId="0">
      <alignment horizontal="right" vertical="center"/>
    </xf>
    <xf numFmtId="4" fontId="40" fillId="16" borderId="0">
      <alignment horizontal="right" vertical="center"/>
    </xf>
    <xf numFmtId="170" fontId="68" fillId="16" borderId="28">
      <alignment horizontal="right" vertical="center"/>
    </xf>
    <xf numFmtId="165" fontId="68" fillId="16" borderId="28">
      <alignment horizontal="right" vertical="center"/>
    </xf>
    <xf numFmtId="165" fontId="79" fillId="16" borderId="0">
      <alignment horizontal="right" vertical="center"/>
    </xf>
    <xf numFmtId="219" fontId="68" fillId="16" borderId="0">
      <alignment horizontal="right" vertical="center"/>
    </xf>
    <xf numFmtId="171" fontId="9" fillId="0" borderId="0">
      <alignment vertical="center"/>
    </xf>
    <xf numFmtId="171" fontId="16" fillId="16" borderId="28" applyBorder="0">
      <alignment horizontal="left" vertical="center"/>
    </xf>
    <xf numFmtId="171" fontId="80" fillId="16" borderId="0">
      <alignment horizontal="left" vertical="center"/>
    </xf>
    <xf numFmtId="171" fontId="16" fillId="16" borderId="34">
      <alignment horizontal="left"/>
    </xf>
    <xf numFmtId="171" fontId="25" fillId="16" borderId="35">
      <alignment vertical="center"/>
    </xf>
    <xf numFmtId="171" fontId="25" fillId="16" borderId="36">
      <alignment vertical="center"/>
    </xf>
    <xf numFmtId="171" fontId="25" fillId="16" borderId="9">
      <alignment vertical="center"/>
    </xf>
    <xf numFmtId="171" fontId="10" fillId="16" borderId="37">
      <alignment horizontal="center" vertical="center"/>
    </xf>
    <xf numFmtId="171" fontId="10" fillId="0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67" fontId="81" fillId="0" borderId="38" applyNumberFormat="0" applyAlignment="0" applyProtection="0">
      <alignment vertical="top"/>
    </xf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82" fillId="0" borderId="0" applyNumberFormat="0" applyAlignment="0">
      <alignment horizontal="left"/>
    </xf>
    <xf numFmtId="226" fontId="15" fillId="0" borderId="0" applyFont="0" applyFill="0" applyBorder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8" fillId="0" borderId="0" applyNumberFormat="0" applyFill="0" applyBorder="0" applyAlignment="0" applyProtection="0"/>
    <xf numFmtId="167" fontId="38" fillId="0" borderId="0" applyBorder="0"/>
    <xf numFmtId="227" fontId="9" fillId="0" borderId="0">
      <protection locked="0"/>
    </xf>
    <xf numFmtId="0" fontId="59" fillId="0" borderId="0"/>
    <xf numFmtId="0" fontId="83" fillId="0" borderId="0" applyFill="0" applyBorder="0" applyProtection="0">
      <alignment horizontal="left"/>
    </xf>
    <xf numFmtId="216" fontId="84" fillId="0" borderId="0"/>
    <xf numFmtId="0" fontId="85" fillId="0" borderId="0">
      <alignment horizontal="left" indent="2"/>
    </xf>
    <xf numFmtId="38" fontId="86" fillId="17" borderId="0" applyNumberFormat="0" applyBorder="0" applyAlignment="0" applyProtection="0"/>
    <xf numFmtId="0" fontId="27" fillId="0" borderId="0" applyFont="0" applyFill="0" applyBorder="0" applyAlignment="0" applyProtection="0">
      <alignment horizontal="right"/>
    </xf>
    <xf numFmtId="0" fontId="87" fillId="18" borderId="0"/>
    <xf numFmtId="0" fontId="15" fillId="0" borderId="0"/>
    <xf numFmtId="0" fontId="8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9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>
      <alignment horizontal="left"/>
    </xf>
    <xf numFmtId="0" fontId="95" fillId="0" borderId="0" applyNumberFormat="0" applyFill="0" applyBorder="0" applyAlignment="0" applyProtection="0"/>
    <xf numFmtId="0" fontId="96" fillId="0" borderId="7" applyNumberFormat="0" applyAlignment="0" applyProtection="0">
      <alignment horizontal="left" vertical="center"/>
    </xf>
    <xf numFmtId="0" fontId="96" fillId="0" borderId="4">
      <alignment horizontal="left" vertical="center"/>
    </xf>
    <xf numFmtId="8" fontId="34" fillId="0" borderId="0" applyProtection="0">
      <alignment horizontal="center"/>
    </xf>
    <xf numFmtId="0" fontId="20" fillId="0" borderId="0">
      <alignment horizontal="right"/>
    </xf>
    <xf numFmtId="0" fontId="20" fillId="0" borderId="0">
      <alignment horizontal="left"/>
    </xf>
    <xf numFmtId="0" fontId="15" fillId="0" borderId="0">
      <protection locked="0"/>
    </xf>
    <xf numFmtId="0" fontId="15" fillId="0" borderId="0">
      <protection locked="0"/>
    </xf>
    <xf numFmtId="0" fontId="97" fillId="0" borderId="40" applyNumberFormat="0" applyFill="0" applyBorder="0" applyAlignment="0" applyProtection="0">
      <alignment horizontal="left"/>
    </xf>
    <xf numFmtId="0" fontId="98" fillId="0" borderId="0">
      <alignment horizontal="center"/>
    </xf>
    <xf numFmtId="0" fontId="99" fillId="0" borderId="12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3" fontId="49" fillId="0" borderId="0" applyNumberFormat="0" applyFill="0" applyBorder="0" applyAlignment="0" applyProtection="0"/>
    <xf numFmtId="228" fontId="9" fillId="0" borderId="0"/>
    <xf numFmtId="228" fontId="100" fillId="0" borderId="0" applyFont="0" applyFill="0" applyBorder="0" applyAlignment="0" applyProtection="0"/>
    <xf numFmtId="0" fontId="101" fillId="0" borderId="41" applyNumberFormat="0" applyFill="0" applyAlignment="0" applyProtection="0"/>
    <xf numFmtId="37" fontId="38" fillId="0" borderId="0" applyBorder="0"/>
    <xf numFmtId="10" fontId="86" fillId="19" borderId="1" applyNumberFormat="0" applyBorder="0" applyAlignment="0" applyProtection="0"/>
    <xf numFmtId="40" fontId="42" fillId="0" borderId="1">
      <protection locked="0"/>
    </xf>
    <xf numFmtId="38" fontId="42" fillId="0" borderId="1">
      <protection locked="0"/>
    </xf>
    <xf numFmtId="8" fontId="42" fillId="0" borderId="1">
      <protection locked="0"/>
    </xf>
    <xf numFmtId="6" fontId="42" fillId="0" borderId="1">
      <protection locked="0"/>
    </xf>
    <xf numFmtId="10" fontId="42" fillId="0" borderId="1">
      <protection locked="0"/>
    </xf>
    <xf numFmtId="9" fontId="42" fillId="0" borderId="1">
      <protection locked="0"/>
    </xf>
    <xf numFmtId="38" fontId="101" fillId="0" borderId="0"/>
    <xf numFmtId="40" fontId="9" fillId="0" borderId="0"/>
    <xf numFmtId="229" fontId="25" fillId="0" borderId="0">
      <alignment horizontal="left"/>
    </xf>
    <xf numFmtId="0" fontId="15" fillId="0" borderId="29"/>
    <xf numFmtId="2" fontId="102" fillId="0" borderId="1"/>
    <xf numFmtId="0" fontId="86" fillId="17" borderId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37" fontId="103" fillId="0" borderId="0" applyNumberFormat="0" applyFill="0" applyBorder="0" applyAlignment="0" applyProtection="0">
      <alignment horizontal="right"/>
    </xf>
    <xf numFmtId="44" fontId="8" fillId="0" borderId="0">
      <alignment horizontal="justify"/>
    </xf>
    <xf numFmtId="230" fontId="38" fillId="0" borderId="0"/>
    <xf numFmtId="231" fontId="27" fillId="0" borderId="0" applyFill="0" applyBorder="0" applyAlignment="0" applyProtection="0">
      <alignment horizontal="right"/>
    </xf>
    <xf numFmtId="232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239" fontId="104" fillId="0" borderId="0" applyFont="0" applyFill="0" applyBorder="0" applyAlignment="0" applyProtection="0"/>
    <xf numFmtId="240" fontId="15" fillId="0" borderId="0" applyFont="0" applyFill="0" applyBorder="0" applyAlignment="0" applyProtection="0"/>
    <xf numFmtId="241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05" fillId="0" borderId="0"/>
    <xf numFmtId="0" fontId="27" fillId="0" borderId="0" applyFont="0" applyFill="0" applyBorder="0" applyAlignment="0" applyProtection="0">
      <alignment horizontal="right"/>
    </xf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7" fillId="0" borderId="0" applyFont="0" applyFill="0" applyBorder="0" applyAlignment="0" applyProtection="0">
      <alignment horizontal="right"/>
    </xf>
    <xf numFmtId="37" fontId="106" fillId="0" borderId="0"/>
    <xf numFmtId="38" fontId="26" fillId="0" borderId="1"/>
    <xf numFmtId="246" fontId="107" fillId="0" borderId="0"/>
    <xf numFmtId="0" fontId="15" fillId="0" borderId="0"/>
    <xf numFmtId="0" fontId="61" fillId="13" borderId="42"/>
    <xf numFmtId="17" fontId="61" fillId="0" borderId="30">
      <alignment horizontal="center"/>
    </xf>
    <xf numFmtId="0" fontId="15" fillId="0" borderId="0"/>
    <xf numFmtId="0" fontId="108" fillId="0" borderId="0"/>
    <xf numFmtId="0" fontId="48" fillId="0" borderId="30"/>
    <xf numFmtId="247" fontId="9" fillId="16" borderId="0" applyBorder="0">
      <alignment vertical="center"/>
    </xf>
    <xf numFmtId="3" fontId="46" fillId="0" borderId="43">
      <protection locked="0"/>
    </xf>
    <xf numFmtId="9" fontId="46" fillId="0" borderId="43"/>
    <xf numFmtId="248" fontId="26" fillId="0" borderId="18"/>
    <xf numFmtId="3" fontId="9" fillId="0" borderId="1"/>
    <xf numFmtId="248" fontId="109" fillId="20" borderId="1"/>
    <xf numFmtId="189" fontId="110" fillId="0" borderId="0"/>
    <xf numFmtId="3" fontId="26" fillId="0" borderId="44"/>
    <xf numFmtId="0" fontId="26" fillId="0" borderId="1"/>
    <xf numFmtId="1" fontId="71" fillId="0" borderId="0">
      <alignment horizontal="right"/>
      <protection locked="0"/>
    </xf>
    <xf numFmtId="171" fontId="75" fillId="0" borderId="0">
      <alignment horizontal="right"/>
      <protection locked="0"/>
    </xf>
    <xf numFmtId="0" fontId="71" fillId="0" borderId="0">
      <protection locked="0"/>
    </xf>
    <xf numFmtId="2" fontId="75" fillId="0" borderId="0">
      <alignment horizontal="right"/>
      <protection locked="0"/>
    </xf>
    <xf numFmtId="2" fontId="71" fillId="0" borderId="0">
      <alignment horizontal="right"/>
      <protection locked="0"/>
    </xf>
    <xf numFmtId="249" fontId="15" fillId="0" borderId="0" applyFont="0" applyBorder="0" applyAlignment="0">
      <alignment horizontal="centerContinuous"/>
    </xf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85" fillId="21" borderId="1" applyNumberFormat="0" applyAlignment="0">
      <protection locked="0"/>
    </xf>
    <xf numFmtId="0" fontId="47" fillId="0" borderId="45">
      <alignment horizontal="left" wrapText="1"/>
    </xf>
    <xf numFmtId="4" fontId="24" fillId="16" borderId="0">
      <alignment horizontal="right"/>
    </xf>
    <xf numFmtId="0" fontId="112" fillId="16" borderId="0">
      <alignment horizontal="center" vertical="center"/>
    </xf>
    <xf numFmtId="0" fontId="113" fillId="16" borderId="14"/>
    <xf numFmtId="0" fontId="112" fillId="16" borderId="0" applyBorder="0">
      <alignment horizontal="centerContinuous"/>
    </xf>
    <xf numFmtId="0" fontId="114" fillId="16" borderId="0" applyBorder="0">
      <alignment horizontal="centerContinuous"/>
    </xf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5" applyNumberFormat="0" applyFont="0" applyFill="0" applyAlignment="0" applyProtection="0"/>
    <xf numFmtId="250" fontId="38" fillId="0" borderId="23" applyBorder="0"/>
    <xf numFmtId="0" fontId="115" fillId="0" borderId="0" applyProtection="0">
      <alignment horizontal="left"/>
    </xf>
    <xf numFmtId="0" fontId="115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16" fillId="0" borderId="0" applyProtection="0">
      <alignment horizontal="right" vertical="center"/>
    </xf>
    <xf numFmtId="0" fontId="117" fillId="22" borderId="47"/>
    <xf numFmtId="171" fontId="15" fillId="0" borderId="0" applyFill="0"/>
    <xf numFmtId="0" fontId="10" fillId="0" borderId="48" applyNumberFormat="0" applyAlignment="0" applyProtection="0"/>
    <xf numFmtId="0" fontId="9" fillId="20" borderId="0" applyNumberFormat="0" applyFont="0" applyBorder="0" applyAlignment="0" applyProtection="0"/>
    <xf numFmtId="0" fontId="86" fillId="23" borderId="49" applyNumberFormat="0" applyFont="0" applyBorder="0" applyAlignment="0" applyProtection="0">
      <alignment horizontal="center"/>
    </xf>
    <xf numFmtId="0" fontId="86" fillId="13" borderId="49" applyNumberFormat="0" applyFont="0" applyBorder="0" applyAlignment="0" applyProtection="0">
      <alignment horizontal="center"/>
    </xf>
    <xf numFmtId="0" fontId="9" fillId="0" borderId="50" applyNumberFormat="0" applyAlignment="0" applyProtection="0"/>
    <xf numFmtId="0" fontId="9" fillId="0" borderId="51" applyNumberFormat="0" applyAlignment="0" applyProtection="0"/>
    <xf numFmtId="0" fontId="10" fillId="0" borderId="52" applyNumberFormat="0" applyAlignment="0" applyProtection="0"/>
    <xf numFmtId="49" fontId="118" fillId="0" borderId="28" applyFill="0" applyProtection="0">
      <alignment vertical="center"/>
    </xf>
    <xf numFmtId="14" fontId="25" fillId="0" borderId="0">
      <alignment horizontal="center" wrapText="1"/>
      <protection locked="0"/>
    </xf>
    <xf numFmtId="0" fontId="25" fillId="0" borderId="0">
      <alignment horizontal="right"/>
    </xf>
    <xf numFmtId="0" fontId="59" fillId="0" borderId="0"/>
    <xf numFmtId="0" fontId="58" fillId="0" borderId="0"/>
    <xf numFmtId="0" fontId="59" fillId="0" borderId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67" fontId="25" fillId="0" borderId="0">
      <alignment horizontal="right"/>
    </xf>
    <xf numFmtId="10" fontId="25" fillId="0" borderId="0">
      <alignment horizontal="right"/>
    </xf>
    <xf numFmtId="251" fontId="25" fillId="0" borderId="0" applyFont="0" applyFill="0" applyBorder="0" applyProtection="0">
      <alignment horizontal="right"/>
    </xf>
    <xf numFmtId="9" fontId="25" fillId="0" borderId="0">
      <alignment horizontal="right"/>
    </xf>
    <xf numFmtId="9" fontId="61" fillId="0" borderId="20">
      <alignment horizontal="center"/>
    </xf>
    <xf numFmtId="167" fontId="25" fillId="0" borderId="0"/>
    <xf numFmtId="167" fontId="71" fillId="0" borderId="0"/>
    <xf numFmtId="10" fontId="25" fillId="0" borderId="0"/>
    <xf numFmtId="10" fontId="71" fillId="0" borderId="0">
      <protection locked="0"/>
    </xf>
    <xf numFmtId="9" fontId="61" fillId="0" borderId="20">
      <alignment horizontal="right"/>
    </xf>
    <xf numFmtId="252" fontId="15" fillId="0" borderId="0"/>
    <xf numFmtId="9" fontId="15" fillId="0" borderId="0" applyFont="0" applyFill="0" applyBorder="0" applyAlignment="0" applyProtection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53" fontId="15" fillId="0" borderId="0" applyProtection="0">
      <alignment horizontal="right"/>
    </xf>
    <xf numFmtId="253" fontId="15" fillId="0" borderId="0">
      <alignment horizontal="right"/>
      <protection locked="0"/>
    </xf>
    <xf numFmtId="5" fontId="119" fillId="0" borderId="0"/>
    <xf numFmtId="0" fontId="120" fillId="0" borderId="0" applyNumberFormat="0" applyFont="0" applyFill="0" applyBorder="0" applyAlignment="0" applyProtection="0">
      <alignment horizontal="left"/>
    </xf>
    <xf numFmtId="15" fontId="120" fillId="0" borderId="0" applyFont="0" applyFill="0" applyBorder="0" applyAlignment="0" applyProtection="0"/>
    <xf numFmtId="4" fontId="120" fillId="0" borderId="0" applyFont="0" applyFill="0" applyBorder="0" applyAlignment="0" applyProtection="0"/>
    <xf numFmtId="0" fontId="121" fillId="0" borderId="23">
      <alignment horizontal="center"/>
    </xf>
    <xf numFmtId="3" fontId="120" fillId="0" borderId="0" applyFont="0" applyFill="0" applyBorder="0" applyAlignment="0" applyProtection="0"/>
    <xf numFmtId="0" fontId="120" fillId="24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25" borderId="0" applyNumberFormat="0" applyFont="0" applyBorder="0" applyAlignment="0">
      <alignment horizontal="center"/>
    </xf>
    <xf numFmtId="14" fontId="123" fillId="0" borderId="0" applyNumberFormat="0" applyFill="0" applyBorder="0" applyAlignment="0" applyProtection="0">
      <alignment horizontal="left"/>
    </xf>
    <xf numFmtId="0" fontId="124" fillId="0" borderId="0" applyNumberFormat="0" applyFill="0" applyBorder="0" applyProtection="0">
      <alignment horizontal="right" vertical="center"/>
    </xf>
    <xf numFmtId="0" fontId="64" fillId="0" borderId="0"/>
    <xf numFmtId="0" fontId="125" fillId="0" borderId="53">
      <alignment vertical="center"/>
    </xf>
    <xf numFmtId="0" fontId="119" fillId="0" borderId="54"/>
    <xf numFmtId="171" fontId="15" fillId="0" borderId="0" applyProtection="0">
      <alignment horizontal="center"/>
    </xf>
    <xf numFmtId="254" fontId="15" fillId="0" borderId="0" applyFont="0" applyFill="0" applyBorder="0" applyAlignment="0" applyProtection="0"/>
    <xf numFmtId="0" fontId="9" fillId="26" borderId="0" applyNumberFormat="0" applyFont="0" applyBorder="0" applyAlignment="0" applyProtection="0"/>
    <xf numFmtId="0" fontId="122" fillId="1" borderId="4" applyNumberFormat="0" applyFont="0" applyAlignment="0">
      <alignment horizontal="center"/>
    </xf>
    <xf numFmtId="42" fontId="50" fillId="0" borderId="0" applyFill="0" applyBorder="0" applyAlignment="0" applyProtection="0"/>
    <xf numFmtId="0" fontId="126" fillId="0" borderId="0" applyNumberFormat="0">
      <alignment horizontal="left"/>
    </xf>
    <xf numFmtId="2" fontId="23" fillId="0" borderId="55"/>
    <xf numFmtId="0" fontId="15" fillId="13" borderId="0" applyNumberFormat="0" applyBorder="0" applyProtection="0">
      <alignment horizontal="center"/>
    </xf>
    <xf numFmtId="0" fontId="127" fillId="0" borderId="0" applyNumberFormat="0" applyFill="0" applyBorder="0" applyAlignment="0">
      <alignment horizontal="center"/>
    </xf>
    <xf numFmtId="0" fontId="15" fillId="0" borderId="0"/>
    <xf numFmtId="0" fontId="128" fillId="0" borderId="0"/>
    <xf numFmtId="0" fontId="15" fillId="0" borderId="0">
      <alignment horizontal="left" wrapText="1"/>
    </xf>
    <xf numFmtId="0" fontId="109" fillId="0" borderId="56"/>
    <xf numFmtId="0" fontId="129" fillId="0" borderId="0"/>
    <xf numFmtId="0" fontId="130" fillId="0" borderId="0">
      <alignment horizontal="left"/>
    </xf>
    <xf numFmtId="213" fontId="15" fillId="0" borderId="0" applyFill="0" applyBorder="0" applyAlignment="0" applyProtection="0"/>
    <xf numFmtId="0" fontId="19" fillId="0" borderId="0"/>
    <xf numFmtId="0" fontId="56" fillId="0" borderId="0">
      <alignment horizontal="left" indent="1"/>
    </xf>
    <xf numFmtId="49" fontId="38" fillId="0" borderId="0"/>
    <xf numFmtId="0" fontId="131" fillId="0" borderId="0" applyFill="0" applyBorder="0" applyProtection="0">
      <alignment horizontal="center" vertical="center"/>
    </xf>
    <xf numFmtId="0" fontId="132" fillId="0" borderId="0" applyBorder="0" applyProtection="0">
      <alignment vertical="center"/>
    </xf>
    <xf numFmtId="0" fontId="132" fillId="0" borderId="28" applyBorder="0" applyProtection="0">
      <alignment horizontal="right" vertical="center"/>
    </xf>
    <xf numFmtId="0" fontId="133" fillId="27" borderId="0" applyBorder="0" applyProtection="0">
      <alignment horizontal="centerContinuous" vertical="center"/>
    </xf>
    <xf numFmtId="0" fontId="133" fillId="2" borderId="28" applyBorder="0" applyProtection="0">
      <alignment horizontal="centerContinuous" vertical="center"/>
    </xf>
    <xf numFmtId="0" fontId="134" fillId="0" borderId="0"/>
    <xf numFmtId="0" fontId="135" fillId="0" borderId="0" applyBorder="0" applyProtection="0">
      <alignment horizontal="left"/>
    </xf>
    <xf numFmtId="0" fontId="136" fillId="0" borderId="0" applyFill="0" applyBorder="0" applyProtection="0"/>
    <xf numFmtId="0" fontId="108" fillId="0" borderId="0"/>
    <xf numFmtId="0" fontId="137" fillId="0" borderId="0" applyFill="0" applyBorder="0" applyProtection="0">
      <alignment horizontal="left"/>
    </xf>
    <xf numFmtId="0" fontId="83" fillId="0" borderId="57" applyFill="0" applyBorder="0" applyProtection="0">
      <alignment horizontal="left" vertical="top"/>
    </xf>
    <xf numFmtId="0" fontId="10" fillId="0" borderId="0">
      <alignment horizontal="centerContinuous"/>
    </xf>
    <xf numFmtId="203" fontId="138" fillId="0" borderId="0" applyNumberFormat="0" applyFill="0" applyBorder="0">
      <alignment horizontal="left"/>
    </xf>
    <xf numFmtId="0" fontId="139" fillId="0" borderId="0"/>
    <xf numFmtId="0" fontId="71" fillId="0" borderId="0">
      <alignment horizontal="left"/>
      <protection locked="0"/>
    </xf>
    <xf numFmtId="0" fontId="140" fillId="0" borderId="0"/>
    <xf numFmtId="49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" fontId="38" fillId="0" borderId="0" applyFill="0" applyProtection="0">
      <alignment horizont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0" fontId="12" fillId="0" borderId="0"/>
    <xf numFmtId="0" fontId="11" fillId="0" borderId="0" applyNumberFormat="0" applyFont="0" applyBorder="0" applyAlignment="0"/>
    <xf numFmtId="0" fontId="141" fillId="0" borderId="0">
      <alignment horizontal="center"/>
    </xf>
    <xf numFmtId="229" fontId="10" fillId="0" borderId="0">
      <alignment horizontal="centerContinuous"/>
    </xf>
    <xf numFmtId="229" fontId="142" fillId="0" borderId="58">
      <alignment horizontal="centerContinuous"/>
    </xf>
    <xf numFmtId="229" fontId="14" fillId="0" borderId="0">
      <alignment horizontal="centerContinuous"/>
      <protection locked="0"/>
    </xf>
    <xf numFmtId="229" fontId="14" fillId="0" borderId="0">
      <alignment horizontal="left"/>
    </xf>
    <xf numFmtId="0" fontId="36" fillId="0" borderId="0">
      <alignment horizontal="center"/>
    </xf>
    <xf numFmtId="0" fontId="36" fillId="0" borderId="0">
      <alignment horizontal="left"/>
    </xf>
    <xf numFmtId="0" fontId="85" fillId="0" borderId="0">
      <alignment horizontal="center"/>
    </xf>
    <xf numFmtId="39" fontId="143" fillId="0" borderId="0">
      <alignment vertical="center"/>
    </xf>
    <xf numFmtId="39" fontId="143" fillId="0" borderId="0">
      <alignment vertical="center"/>
    </xf>
    <xf numFmtId="39" fontId="144" fillId="0" borderId="0">
      <alignment vertical="center"/>
    </xf>
    <xf numFmtId="0" fontId="145" fillId="0" borderId="0"/>
    <xf numFmtId="44" fontId="61" fillId="0" borderId="20"/>
    <xf numFmtId="0" fontId="146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Alignment="0" applyProtection="0">
      <alignment horizontal="left"/>
    </xf>
    <xf numFmtId="0" fontId="148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5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44" fontId="152" fillId="0" borderId="20"/>
    <xf numFmtId="37" fontId="61" fillId="0" borderId="2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255" fontId="15" fillId="0" borderId="0">
      <alignment horizontal="right"/>
    </xf>
    <xf numFmtId="203" fontId="153" fillId="0" borderId="0">
      <alignment horizontal="left"/>
      <protection locked="0"/>
    </xf>
    <xf numFmtId="222" fontId="142" fillId="0" borderId="0">
      <alignment horizontal="right"/>
    </xf>
    <xf numFmtId="223" fontId="15" fillId="0" borderId="0">
      <alignment horizontal="right"/>
    </xf>
    <xf numFmtId="1" fontId="142" fillId="0" borderId="0">
      <alignment horizontal="left"/>
    </xf>
    <xf numFmtId="221" fontId="142" fillId="0" borderId="0">
      <alignment horizontal="right"/>
    </xf>
    <xf numFmtId="0" fontId="154" fillId="0" borderId="0">
      <alignment horizontal="fill"/>
    </xf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37" fontId="86" fillId="28" borderId="0" applyNumberFormat="0" applyBorder="0" applyAlignment="0" applyProtection="0"/>
    <xf numFmtId="37" fontId="86" fillId="0" borderId="0"/>
    <xf numFmtId="3" fontId="155" fillId="0" borderId="41" applyProtection="0"/>
    <xf numFmtId="0" fontId="15" fillId="0" borderId="0"/>
    <xf numFmtId="256" fontId="15" fillId="0" borderId="0" applyFont="0" applyFill="0" applyBorder="0" applyAlignment="0" applyProtection="0"/>
    <xf numFmtId="257" fontId="15" fillId="0" borderId="0" applyFont="0" applyFill="0" applyBorder="0" applyAlignment="0" applyProtection="0"/>
    <xf numFmtId="4" fontId="104" fillId="0" borderId="0" applyFont="0" applyFill="0" applyBorder="0" applyAlignment="0" applyProtection="0"/>
    <xf numFmtId="189" fontId="156" fillId="0" borderId="0"/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258" fontId="158" fillId="0" borderId="28" applyBorder="0" applyProtection="0">
      <alignment horizontal="right"/>
    </xf>
    <xf numFmtId="0" fontId="50" fillId="0" borderId="0" applyFont="0" applyFill="0" applyBorder="0" applyAlignment="0" applyProtection="0"/>
    <xf numFmtId="259" fontId="14" fillId="0" borderId="49">
      <alignment horizontal="center"/>
    </xf>
    <xf numFmtId="0" fontId="159" fillId="0" borderId="0">
      <alignment vertical="center"/>
    </xf>
    <xf numFmtId="40" fontId="120" fillId="0" borderId="0" applyFont="0" applyFill="0" applyBorder="0" applyAlignment="0" applyProtection="0"/>
    <xf numFmtId="41" fontId="160" fillId="0" borderId="0" applyFont="0" applyFill="0" applyBorder="0" applyAlignment="0" applyProtection="0"/>
    <xf numFmtId="0" fontId="26" fillId="0" borderId="0"/>
    <xf numFmtId="8" fontId="120" fillId="0" borderId="0" applyFont="0" applyFill="0" applyBorder="0" applyAlignment="0" applyProtection="0"/>
    <xf numFmtId="6" fontId="12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5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15" fillId="0" borderId="0"/>
    <xf numFmtId="43" fontId="164" fillId="0" borderId="0" applyFont="0" applyFill="0" applyBorder="0" applyAlignment="0" applyProtection="0"/>
    <xf numFmtId="0" fontId="166" fillId="0" borderId="62" applyNumberFormat="0" applyFill="0" applyAlignment="0" applyProtection="0"/>
    <xf numFmtId="0" fontId="164" fillId="0" borderId="0"/>
    <xf numFmtId="0" fontId="2" fillId="0" borderId="0"/>
    <xf numFmtId="9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69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94">
    <xf numFmtId="0" fontId="0" fillId="0" borderId="0" xfId="0"/>
    <xf numFmtId="0" fontId="167" fillId="36" borderId="0" xfId="1347" applyFont="1" applyFill="1"/>
    <xf numFmtId="0" fontId="2" fillId="36" borderId="0" xfId="1347" applyFill="1"/>
    <xf numFmtId="0" fontId="2" fillId="37" borderId="0" xfId="1347" applyFill="1"/>
    <xf numFmtId="0" fontId="170" fillId="36" borderId="0" xfId="1357" applyFont="1" applyFill="1"/>
    <xf numFmtId="0" fontId="2" fillId="37" borderId="0" xfId="1347" applyFill="1" applyAlignment="1">
      <alignment horizontal="center"/>
    </xf>
    <xf numFmtId="0" fontId="173" fillId="37" borderId="65" xfId="1347" applyFont="1" applyFill="1" applyBorder="1" applyAlignment="1">
      <alignment horizontal="center"/>
    </xf>
    <xf numFmtId="169" fontId="0" fillId="37" borderId="0" xfId="1358" applyNumberFormat="1" applyFont="1" applyFill="1"/>
    <xf numFmtId="166" fontId="171" fillId="37" borderId="0" xfId="1358" applyNumberFormat="1" applyFont="1" applyFill="1" applyAlignment="1">
      <alignment horizontal="center"/>
    </xf>
    <xf numFmtId="166" fontId="2" fillId="37" borderId="0" xfId="1347" applyNumberFormat="1" applyFill="1" applyAlignment="1">
      <alignment horizontal="center"/>
    </xf>
    <xf numFmtId="0" fontId="173" fillId="37" borderId="0" xfId="1347" applyFont="1" applyFill="1"/>
    <xf numFmtId="6" fontId="2" fillId="37" borderId="0" xfId="1347" applyNumberFormat="1" applyFill="1"/>
    <xf numFmtId="6" fontId="174" fillId="37" borderId="0" xfId="1347" applyNumberFormat="1" applyFont="1" applyFill="1"/>
    <xf numFmtId="0" fontId="167" fillId="36" borderId="0" xfId="1347" applyFont="1" applyFill="1" applyAlignment="1">
      <alignment horizontal="right"/>
    </xf>
    <xf numFmtId="166" fontId="0" fillId="37" borderId="0" xfId="1358" applyNumberFormat="1" applyFont="1" applyFill="1" applyBorder="1" applyAlignment="1">
      <alignment horizontal="center"/>
    </xf>
    <xf numFmtId="0" fontId="167" fillId="36" borderId="0" xfId="1347" applyFont="1" applyFill="1" applyAlignment="1">
      <alignment horizontal="center"/>
    </xf>
    <xf numFmtId="0" fontId="175" fillId="0" borderId="0" xfId="0" applyFont="1"/>
    <xf numFmtId="0" fontId="23" fillId="0" borderId="0" xfId="5" applyFont="1"/>
    <xf numFmtId="0" fontId="23" fillId="0" borderId="0" xfId="5" applyFont="1" applyAlignment="1">
      <alignment horizontal="right"/>
    </xf>
    <xf numFmtId="168" fontId="177" fillId="0" borderId="0" xfId="0" applyNumberFormat="1" applyFont="1" applyAlignment="1">
      <alignment horizontal="center"/>
    </xf>
    <xf numFmtId="1" fontId="113" fillId="0" borderId="0" xfId="0" applyNumberFormat="1" applyFont="1" applyAlignment="1">
      <alignment horizontal="left"/>
    </xf>
    <xf numFmtId="0" fontId="177" fillId="0" borderId="0" xfId="0" applyFont="1"/>
    <xf numFmtId="175" fontId="178" fillId="8" borderId="15" xfId="0" applyNumberFormat="1" applyFont="1" applyFill="1" applyBorder="1" applyAlignment="1">
      <alignment horizontal="center"/>
    </xf>
    <xf numFmtId="175" fontId="178" fillId="8" borderId="0" xfId="0" applyNumberFormat="1" applyFont="1" applyFill="1" applyAlignment="1">
      <alignment horizontal="center"/>
    </xf>
    <xf numFmtId="0" fontId="178" fillId="8" borderId="15" xfId="0" applyFont="1" applyFill="1" applyBorder="1" applyAlignment="1">
      <alignment horizontal="left"/>
    </xf>
    <xf numFmtId="0" fontId="178" fillId="8" borderId="0" xfId="0" applyFont="1" applyFill="1" applyAlignment="1">
      <alignment horizontal="center"/>
    </xf>
    <xf numFmtId="0" fontId="178" fillId="8" borderId="6" xfId="0" applyFont="1" applyFill="1" applyBorder="1" applyAlignment="1">
      <alignment horizontal="center"/>
    </xf>
    <xf numFmtId="0" fontId="15" fillId="0" borderId="75" xfId="0" applyFont="1" applyBorder="1"/>
    <xf numFmtId="179" fontId="23" fillId="0" borderId="76" xfId="22" applyNumberFormat="1" applyFont="1" applyBorder="1" applyAlignment="1">
      <alignment horizontal="center"/>
    </xf>
    <xf numFmtId="176" fontId="23" fillId="0" borderId="76" xfId="22" applyNumberFormat="1" applyFont="1" applyBorder="1" applyAlignment="1">
      <alignment horizontal="center" vertical="center"/>
    </xf>
    <xf numFmtId="0" fontId="15" fillId="4" borderId="76" xfId="0" applyFont="1" applyFill="1" applyBorder="1" applyAlignment="1">
      <alignment horizontal="center"/>
    </xf>
    <xf numFmtId="0" fontId="15" fillId="0" borderId="86" xfId="0" applyFont="1" applyBorder="1"/>
    <xf numFmtId="168" fontId="15" fillId="4" borderId="87" xfId="22" applyNumberFormat="1" applyFont="1" applyFill="1" applyBorder="1" applyAlignment="1">
      <alignment horizontal="center"/>
    </xf>
    <xf numFmtId="177" fontId="23" fillId="0" borderId="87" xfId="22" applyNumberFormat="1" applyFont="1" applyBorder="1" applyAlignment="1">
      <alignment horizontal="center" vertical="center"/>
    </xf>
    <xf numFmtId="165" fontId="23" fillId="0" borderId="87" xfId="2" applyNumberFormat="1" applyFont="1" applyBorder="1" applyAlignment="1">
      <alignment horizontal="center"/>
    </xf>
    <xf numFmtId="0" fontId="15" fillId="4" borderId="59" xfId="0" applyFont="1" applyFill="1" applyBorder="1"/>
    <xf numFmtId="0" fontId="15" fillId="0" borderId="8" xfId="0" applyFont="1" applyBorder="1"/>
    <xf numFmtId="168" fontId="15" fillId="0" borderId="66" xfId="22" applyNumberFormat="1" applyFont="1" applyFill="1" applyBorder="1" applyAlignment="1">
      <alignment horizontal="center"/>
    </xf>
    <xf numFmtId="177" fontId="23" fillId="0" borderId="66" xfId="22" applyNumberFormat="1" applyFont="1" applyFill="1" applyBorder="1" applyAlignment="1">
      <alignment horizontal="center" vertical="center"/>
    </xf>
    <xf numFmtId="165" fontId="23" fillId="0" borderId="66" xfId="2" applyNumberFormat="1" applyFont="1" applyBorder="1" applyAlignment="1">
      <alignment horizontal="center"/>
    </xf>
    <xf numFmtId="0" fontId="15" fillId="0" borderId="90" xfId="0" applyFont="1" applyBorder="1"/>
    <xf numFmtId="3" fontId="15" fillId="0" borderId="83" xfId="0" applyNumberFormat="1" applyFont="1" applyBorder="1" applyAlignment="1">
      <alignment horizontal="center"/>
    </xf>
    <xf numFmtId="8" fontId="15" fillId="0" borderId="66" xfId="0" applyNumberFormat="1" applyFont="1" applyBorder="1"/>
    <xf numFmtId="6" fontId="15" fillId="0" borderId="66" xfId="0" applyNumberFormat="1" applyFont="1" applyBorder="1"/>
    <xf numFmtId="6" fontId="177" fillId="0" borderId="0" xfId="0" applyNumberFormat="1" applyFont="1"/>
    <xf numFmtId="8" fontId="15" fillId="0" borderId="0" xfId="0" applyNumberFormat="1" applyFont="1"/>
    <xf numFmtId="6" fontId="15" fillId="0" borderId="0" xfId="0" applyNumberFormat="1" applyFont="1"/>
    <xf numFmtId="0" fontId="15" fillId="0" borderId="91" xfId="0" applyFont="1" applyBorder="1"/>
    <xf numFmtId="3" fontId="15" fillId="0" borderId="92" xfId="0" applyNumberFormat="1" applyFont="1" applyBorder="1"/>
    <xf numFmtId="0" fontId="15" fillId="0" borderId="0" xfId="0" applyFont="1"/>
    <xf numFmtId="177" fontId="23" fillId="0" borderId="0" xfId="22" applyNumberFormat="1" applyFont="1" applyFill="1" applyBorder="1" applyAlignment="1">
      <alignment horizontal="center" vertical="center"/>
    </xf>
    <xf numFmtId="165" fontId="23" fillId="0" borderId="0" xfId="2" applyNumberFormat="1" applyFont="1" applyAlignment="1">
      <alignment horizontal="center"/>
    </xf>
    <xf numFmtId="5" fontId="15" fillId="11" borderId="3" xfId="22" applyNumberFormat="1" applyFont="1" applyFill="1" applyBorder="1" applyAlignment="1">
      <alignment horizontal="center"/>
    </xf>
    <xf numFmtId="5" fontId="15" fillId="0" borderId="73" xfId="22" applyNumberFormat="1" applyFont="1" applyBorder="1" applyAlignment="1">
      <alignment horizontal="center"/>
    </xf>
    <xf numFmtId="0" fontId="15" fillId="0" borderId="68" xfId="0" applyFont="1" applyBorder="1"/>
    <xf numFmtId="5" fontId="23" fillId="0" borderId="69" xfId="22" applyNumberFormat="1" applyFont="1" applyBorder="1" applyAlignment="1">
      <alignment horizontal="center"/>
    </xf>
    <xf numFmtId="174" fontId="182" fillId="0" borderId="68" xfId="0" applyNumberFormat="1" applyFont="1" applyBorder="1" applyAlignment="1">
      <alignment horizontal="left"/>
    </xf>
    <xf numFmtId="5" fontId="15" fillId="0" borderId="69" xfId="22" applyNumberFormat="1" applyFont="1" applyBorder="1" applyAlignment="1">
      <alignment horizontal="center"/>
    </xf>
    <xf numFmtId="5" fontId="23" fillId="3" borderId="59" xfId="22" applyNumberFormat="1" applyFont="1" applyFill="1" applyBorder="1" applyAlignment="1">
      <alignment horizontal="center"/>
    </xf>
    <xf numFmtId="5" fontId="23" fillId="3" borderId="61" xfId="22" applyNumberFormat="1" applyFont="1" applyFill="1" applyBorder="1" applyAlignment="1">
      <alignment horizontal="center"/>
    </xf>
    <xf numFmtId="0" fontId="178" fillId="8" borderId="10" xfId="0" applyFont="1" applyFill="1" applyBorder="1" applyAlignment="1">
      <alignment horizontal="center"/>
    </xf>
    <xf numFmtId="0" fontId="181" fillId="0" borderId="66" xfId="0" applyFont="1" applyBorder="1" applyAlignment="1">
      <alignment horizontal="left"/>
    </xf>
    <xf numFmtId="5" fontId="181" fillId="0" borderId="66" xfId="0" applyNumberFormat="1" applyFont="1" applyBorder="1" applyAlignment="1">
      <alignment horizontal="center"/>
    </xf>
    <xf numFmtId="0" fontId="183" fillId="8" borderId="59" xfId="2" applyFont="1" applyFill="1" applyBorder="1" applyAlignment="1">
      <alignment horizontal="right" wrapText="1"/>
    </xf>
    <xf numFmtId="10" fontId="184" fillId="8" borderId="59" xfId="2" applyNumberFormat="1" applyFont="1" applyFill="1" applyBorder="1" applyAlignment="1">
      <alignment horizontal="center"/>
    </xf>
    <xf numFmtId="0" fontId="178" fillId="8" borderId="0" xfId="0" applyFont="1" applyFill="1" applyAlignment="1">
      <alignment horizontal="center" wrapText="1"/>
    </xf>
    <xf numFmtId="0" fontId="15" fillId="0" borderId="63" xfId="0" applyFont="1" applyBorder="1" applyAlignment="1">
      <alignment wrapText="1"/>
    </xf>
    <xf numFmtId="5" fontId="15" fillId="0" borderId="66" xfId="22" applyNumberFormat="1" applyFont="1" applyFill="1" applyBorder="1" applyAlignment="1">
      <alignment horizontal="center"/>
    </xf>
    <xf numFmtId="10" fontId="177" fillId="0" borderId="0" xfId="1" applyNumberFormat="1" applyFont="1"/>
    <xf numFmtId="264" fontId="180" fillId="0" borderId="0" xfId="0" applyNumberFormat="1" applyFont="1" applyAlignment="1">
      <alignment horizontal="center"/>
    </xf>
    <xf numFmtId="7" fontId="177" fillId="5" borderId="0" xfId="0" applyNumberFormat="1" applyFont="1" applyFill="1"/>
    <xf numFmtId="5" fontId="177" fillId="5" borderId="0" xfId="0" applyNumberFormat="1" applyFont="1" applyFill="1"/>
    <xf numFmtId="5" fontId="23" fillId="3" borderId="66" xfId="22" applyNumberFormat="1" applyFont="1" applyFill="1" applyBorder="1" applyAlignment="1">
      <alignment horizontal="center"/>
    </xf>
    <xf numFmtId="166" fontId="177" fillId="0" borderId="0" xfId="0" applyNumberFormat="1" applyFont="1"/>
    <xf numFmtId="7" fontId="177" fillId="0" borderId="0" xfId="0" applyNumberFormat="1" applyFont="1"/>
    <xf numFmtId="0" fontId="186" fillId="0" borderId="0" xfId="0" applyFont="1"/>
    <xf numFmtId="266" fontId="23" fillId="0" borderId="0" xfId="0" applyNumberFormat="1" applyFont="1"/>
    <xf numFmtId="6" fontId="23" fillId="0" borderId="0" xfId="1" applyNumberFormat="1" applyFont="1" applyFill="1" applyBorder="1" applyAlignment="1">
      <alignment horizontal="center"/>
    </xf>
    <xf numFmtId="0" fontId="181" fillId="0" borderId="66" xfId="0" applyFont="1" applyBorder="1" applyAlignment="1">
      <alignment horizontal="right"/>
    </xf>
    <xf numFmtId="6" fontId="181" fillId="0" borderId="66" xfId="0" applyNumberFormat="1" applyFont="1" applyBorder="1" applyAlignment="1">
      <alignment horizontal="center"/>
    </xf>
    <xf numFmtId="0" fontId="181" fillId="0" borderId="8" xfId="0" applyFont="1" applyBorder="1" applyAlignment="1">
      <alignment horizontal="right"/>
    </xf>
    <xf numFmtId="5" fontId="15" fillId="0" borderId="66" xfId="22" applyNumberFormat="1" applyFont="1" applyBorder="1"/>
    <xf numFmtId="5" fontId="15" fillId="0" borderId="3" xfId="22" applyNumberFormat="1" applyFont="1" applyBorder="1"/>
    <xf numFmtId="0" fontId="177" fillId="0" borderId="15" xfId="0" applyFont="1" applyBorder="1" applyAlignment="1">
      <alignment horizontal="right"/>
    </xf>
    <xf numFmtId="37" fontId="15" fillId="0" borderId="61" xfId="22" applyNumberFormat="1" applyFont="1" applyBorder="1"/>
    <xf numFmtId="165" fontId="177" fillId="0" borderId="0" xfId="0" applyNumberFormat="1" applyFont="1"/>
    <xf numFmtId="166" fontId="23" fillId="0" borderId="61" xfId="22" applyNumberFormat="1" applyFont="1" applyBorder="1"/>
    <xf numFmtId="5" fontId="177" fillId="0" borderId="0" xfId="0" applyNumberFormat="1" applyFont="1"/>
    <xf numFmtId="0" fontId="178" fillId="0" borderId="61" xfId="0" applyFont="1" applyBorder="1" applyAlignment="1">
      <alignment horizontal="center"/>
    </xf>
    <xf numFmtId="0" fontId="178" fillId="0" borderId="15" xfId="0" applyFont="1" applyBorder="1" applyAlignment="1">
      <alignment horizontal="center"/>
    </xf>
    <xf numFmtId="0" fontId="177" fillId="0" borderId="0" xfId="0" applyFont="1" applyAlignment="1">
      <alignment horizontal="right"/>
    </xf>
    <xf numFmtId="0" fontId="175" fillId="0" borderId="0" xfId="0" applyFont="1" applyAlignment="1">
      <alignment horizontal="center"/>
    </xf>
    <xf numFmtId="0" fontId="177" fillId="37" borderId="0" xfId="1347" applyFont="1" applyFill="1"/>
    <xf numFmtId="14" fontId="188" fillId="37" borderId="0" xfId="1347" applyNumberFormat="1" applyFont="1" applyFill="1" applyAlignment="1">
      <alignment horizontal="center"/>
    </xf>
    <xf numFmtId="14" fontId="177" fillId="37" borderId="0" xfId="1347" applyNumberFormat="1" applyFont="1" applyFill="1" applyAlignment="1">
      <alignment horizontal="center"/>
    </xf>
    <xf numFmtId="0" fontId="177" fillId="37" borderId="0" xfId="1347" applyFont="1" applyFill="1" applyAlignment="1">
      <alignment horizontal="left" vertical="center" indent="1"/>
    </xf>
    <xf numFmtId="0" fontId="23" fillId="37" borderId="0" xfId="1347" applyFont="1" applyFill="1" applyAlignment="1">
      <alignment horizontal="center" vertical="center"/>
    </xf>
    <xf numFmtId="0" fontId="23" fillId="37" borderId="78" xfId="1347" applyFont="1" applyFill="1" applyBorder="1" applyAlignment="1">
      <alignment horizontal="center" vertical="center"/>
    </xf>
    <xf numFmtId="0" fontId="181" fillId="37" borderId="77" xfId="1347" applyFont="1" applyFill="1" applyBorder="1" applyAlignment="1">
      <alignment vertical="center"/>
    </xf>
    <xf numFmtId="0" fontId="181" fillId="37" borderId="78" xfId="1347" applyFont="1" applyFill="1" applyBorder="1" applyAlignment="1">
      <alignment horizontal="center" vertical="center"/>
    </xf>
    <xf numFmtId="0" fontId="23" fillId="37" borderId="14" xfId="1347" applyFont="1" applyFill="1" applyBorder="1" applyAlignment="1">
      <alignment horizontal="center" vertical="center"/>
    </xf>
    <xf numFmtId="0" fontId="177" fillId="37" borderId="15" xfId="1347" applyFont="1" applyFill="1" applyBorder="1"/>
    <xf numFmtId="0" fontId="177" fillId="37" borderId="15" xfId="1347" applyFont="1" applyFill="1" applyBorder="1" applyAlignment="1">
      <alignment horizontal="left" vertical="center" indent="1"/>
    </xf>
    <xf numFmtId="10" fontId="188" fillId="37" borderId="6" xfId="1347" applyNumberFormat="1" applyFont="1" applyFill="1" applyBorder="1" applyAlignment="1">
      <alignment horizontal="center" vertical="center"/>
    </xf>
    <xf numFmtId="0" fontId="15" fillId="37" borderId="14" xfId="1347" applyFont="1" applyFill="1" applyBorder="1" applyAlignment="1">
      <alignment horizontal="center" vertical="center"/>
    </xf>
    <xf numFmtId="0" fontId="177" fillId="37" borderId="77" xfId="1347" applyFont="1" applyFill="1" applyBorder="1" applyAlignment="1">
      <alignment vertical="center"/>
    </xf>
    <xf numFmtId="10" fontId="188" fillId="37" borderId="78" xfId="1347" applyNumberFormat="1" applyFont="1" applyFill="1" applyBorder="1" applyAlignment="1">
      <alignment horizontal="center" vertical="center"/>
    </xf>
    <xf numFmtId="0" fontId="15" fillId="37" borderId="14" xfId="1347" applyFont="1" applyFill="1" applyBorder="1" applyAlignment="1">
      <alignment vertical="center"/>
    </xf>
    <xf numFmtId="14" fontId="181" fillId="37" borderId="0" xfId="1347" applyNumberFormat="1" applyFont="1" applyFill="1" applyAlignment="1">
      <alignment horizontal="center"/>
    </xf>
    <xf numFmtId="0" fontId="181" fillId="37" borderId="0" xfId="1347" applyFont="1" applyFill="1" applyAlignment="1">
      <alignment horizontal="center" vertical="center"/>
    </xf>
    <xf numFmtId="9" fontId="188" fillId="37" borderId="6" xfId="1347" applyNumberFormat="1" applyFont="1" applyFill="1" applyBorder="1" applyAlignment="1">
      <alignment horizontal="center" vertical="center"/>
    </xf>
    <xf numFmtId="0" fontId="15" fillId="37" borderId="88" xfId="1347" applyFont="1" applyFill="1" applyBorder="1" applyAlignment="1">
      <alignment vertical="center"/>
    </xf>
    <xf numFmtId="0" fontId="15" fillId="37" borderId="0" xfId="1347" applyFont="1" applyFill="1" applyAlignment="1">
      <alignment horizontal="left" vertical="center" indent="1"/>
    </xf>
    <xf numFmtId="0" fontId="15" fillId="37" borderId="0" xfId="1347" applyFont="1" applyFill="1" applyAlignment="1">
      <alignment vertical="center"/>
    </xf>
    <xf numFmtId="5" fontId="177" fillId="37" borderId="0" xfId="1347" applyNumberFormat="1" applyFont="1" applyFill="1" applyAlignment="1">
      <alignment horizontal="center" vertical="center"/>
    </xf>
    <xf numFmtId="9" fontId="188" fillId="37" borderId="78" xfId="1347" applyNumberFormat="1" applyFont="1" applyFill="1" applyBorder="1" applyAlignment="1">
      <alignment horizontal="center" vertical="center"/>
    </xf>
    <xf numFmtId="0" fontId="15" fillId="37" borderId="97" xfId="1347" applyFont="1" applyFill="1" applyBorder="1" applyAlignment="1">
      <alignment vertical="center"/>
    </xf>
    <xf numFmtId="0" fontId="15" fillId="37" borderId="98" xfId="1347" applyFont="1" applyFill="1" applyBorder="1" applyAlignment="1">
      <alignment vertical="center"/>
    </xf>
    <xf numFmtId="9" fontId="188" fillId="37" borderId="0" xfId="1347" applyNumberFormat="1" applyFont="1" applyFill="1" applyAlignment="1">
      <alignment horizontal="center" vertical="center"/>
    </xf>
    <xf numFmtId="0" fontId="15" fillId="37" borderId="15" xfId="1347" applyFont="1" applyFill="1" applyBorder="1" applyAlignment="1">
      <alignment vertical="center"/>
    </xf>
    <xf numFmtId="0" fontId="177" fillId="37" borderId="0" xfId="1347" applyFont="1" applyFill="1" applyAlignment="1">
      <alignment vertical="center"/>
    </xf>
    <xf numFmtId="0" fontId="189" fillId="37" borderId="15" xfId="1347" applyFont="1" applyFill="1" applyBorder="1" applyAlignment="1">
      <alignment horizontal="left" vertical="center" indent="1"/>
    </xf>
    <xf numFmtId="0" fontId="15" fillId="37" borderId="15" xfId="1347" applyFont="1" applyFill="1" applyBorder="1" applyAlignment="1">
      <alignment horizontal="left" vertical="center" indent="1"/>
    </xf>
    <xf numFmtId="166" fontId="177" fillId="37" borderId="15" xfId="1347" applyNumberFormat="1" applyFont="1" applyFill="1" applyBorder="1"/>
    <xf numFmtId="0" fontId="15" fillId="37" borderId="77" xfId="1347" applyFont="1" applyFill="1" applyBorder="1" applyAlignment="1">
      <alignment horizontal="left" vertical="center" indent="1"/>
    </xf>
    <xf numFmtId="0" fontId="15" fillId="37" borderId="93" xfId="1347" applyFont="1" applyFill="1" applyBorder="1" applyAlignment="1">
      <alignment vertical="center"/>
    </xf>
    <xf numFmtId="0" fontId="23" fillId="0" borderId="63" xfId="0" applyFont="1" applyBorder="1" applyAlignment="1">
      <alignment horizontal="right"/>
    </xf>
    <xf numFmtId="6" fontId="177" fillId="0" borderId="0" xfId="0" applyNumberFormat="1" applyFont="1" applyAlignment="1">
      <alignment horizontal="center"/>
    </xf>
    <xf numFmtId="6" fontId="177" fillId="0" borderId="6" xfId="0" applyNumberFormat="1" applyFont="1" applyBorder="1" applyAlignment="1">
      <alignment horizontal="center"/>
    </xf>
    <xf numFmtId="6" fontId="177" fillId="0" borderId="82" xfId="0" applyNumberFormat="1" applyFont="1" applyBorder="1" applyAlignment="1">
      <alignment horizontal="center"/>
    </xf>
    <xf numFmtId="6" fontId="177" fillId="0" borderId="74" xfId="0" applyNumberFormat="1" applyFont="1" applyBorder="1" applyAlignment="1">
      <alignment horizontal="center"/>
    </xf>
    <xf numFmtId="6" fontId="15" fillId="0" borderId="0" xfId="2" applyNumberFormat="1" applyFont="1" applyAlignment="1">
      <alignment horizontal="center"/>
    </xf>
    <xf numFmtId="6" fontId="15" fillId="0" borderId="6" xfId="2" applyNumberFormat="1" applyFont="1" applyBorder="1" applyAlignment="1">
      <alignment horizontal="center"/>
    </xf>
    <xf numFmtId="6" fontId="15" fillId="0" borderId="82" xfId="2" applyNumberFormat="1" applyFont="1" applyBorder="1" applyAlignment="1">
      <alignment horizontal="center"/>
    </xf>
    <xf numFmtId="6" fontId="15" fillId="0" borderId="74" xfId="2" applyNumberFormat="1" applyFont="1" applyBorder="1" applyAlignment="1">
      <alignment horizontal="center"/>
    </xf>
    <xf numFmtId="0" fontId="23" fillId="0" borderId="77" xfId="0" applyFont="1" applyBorder="1"/>
    <xf numFmtId="6" fontId="23" fillId="0" borderId="0" xfId="0" applyNumberFormat="1" applyFont="1" applyAlignment="1">
      <alignment horizontal="center"/>
    </xf>
    <xf numFmtId="6" fontId="23" fillId="0" borderId="6" xfId="0" applyNumberFormat="1" applyFont="1" applyBorder="1" applyAlignment="1">
      <alignment horizontal="center"/>
    </xf>
    <xf numFmtId="0" fontId="181" fillId="4" borderId="0" xfId="0" applyFont="1" applyFill="1" applyAlignment="1">
      <alignment horizontal="center" wrapText="1"/>
    </xf>
    <xf numFmtId="0" fontId="177" fillId="9" borderId="0" xfId="0" applyFont="1" applyFill="1"/>
    <xf numFmtId="0" fontId="177" fillId="10" borderId="0" xfId="0" applyFont="1" applyFill="1"/>
    <xf numFmtId="0" fontId="177" fillId="7" borderId="0" xfId="0" applyFont="1" applyFill="1"/>
    <xf numFmtId="0" fontId="177" fillId="0" borderId="67" xfId="0" applyFont="1" applyBorder="1" applyAlignment="1">
      <alignment horizontal="center"/>
    </xf>
    <xf numFmtId="9" fontId="191" fillId="0" borderId="83" xfId="0" applyNumberFormat="1" applyFont="1" applyBorder="1"/>
    <xf numFmtId="38" fontId="181" fillId="0" borderId="60" xfId="0" applyNumberFormat="1" applyFont="1" applyBorder="1"/>
    <xf numFmtId="5" fontId="181" fillId="0" borderId="8" xfId="0" applyNumberFormat="1" applyFont="1" applyBorder="1"/>
    <xf numFmtId="6" fontId="181" fillId="0" borderId="8" xfId="0" applyNumberFormat="1" applyFont="1" applyBorder="1"/>
    <xf numFmtId="0" fontId="177" fillId="0" borderId="94" xfId="0" applyFont="1" applyBorder="1"/>
    <xf numFmtId="6" fontId="177" fillId="0" borderId="107" xfId="0" applyNumberFormat="1" applyFont="1" applyBorder="1"/>
    <xf numFmtId="5" fontId="181" fillId="0" borderId="66" xfId="0" applyNumberFormat="1" applyFont="1" applyBorder="1"/>
    <xf numFmtId="5" fontId="181" fillId="0" borderId="14" xfId="0" applyNumberFormat="1" applyFont="1" applyBorder="1"/>
    <xf numFmtId="5" fontId="177" fillId="0" borderId="100" xfId="0" applyNumberFormat="1" applyFont="1" applyBorder="1"/>
    <xf numFmtId="0" fontId="177" fillId="0" borderId="101" xfId="0" applyFont="1" applyBorder="1"/>
    <xf numFmtId="169" fontId="177" fillId="0" borderId="102" xfId="18" applyNumberFormat="1" applyFont="1" applyBorder="1"/>
    <xf numFmtId="0" fontId="177" fillId="0" borderId="64" xfId="0" applyFont="1" applyBorder="1"/>
    <xf numFmtId="6" fontId="177" fillId="0" borderId="67" xfId="0" applyNumberFormat="1" applyFont="1" applyBorder="1"/>
    <xf numFmtId="0" fontId="177" fillId="4" borderId="0" xfId="0" applyFont="1" applyFill="1"/>
    <xf numFmtId="5" fontId="177" fillId="0" borderId="70" xfId="0" applyNumberFormat="1" applyFont="1" applyBorder="1"/>
    <xf numFmtId="5" fontId="177" fillId="0" borderId="73" xfId="0" applyNumberFormat="1" applyFont="1" applyBorder="1"/>
    <xf numFmtId="6" fontId="177" fillId="0" borderId="73" xfId="0" applyNumberFormat="1" applyFont="1" applyBorder="1"/>
    <xf numFmtId="37" fontId="181" fillId="0" borderId="2" xfId="0" applyNumberFormat="1" applyFont="1" applyBorder="1"/>
    <xf numFmtId="5" fontId="181" fillId="4" borderId="0" xfId="0" applyNumberFormat="1" applyFont="1" applyFill="1"/>
    <xf numFmtId="0" fontId="181" fillId="4" borderId="0" xfId="0" applyFont="1" applyFill="1" applyAlignment="1">
      <alignment wrapText="1"/>
    </xf>
    <xf numFmtId="0" fontId="181" fillId="0" borderId="0" xfId="0" applyFont="1" applyAlignment="1">
      <alignment horizontal="center" wrapText="1"/>
    </xf>
    <xf numFmtId="5" fontId="181" fillId="0" borderId="83" xfId="0" applyNumberFormat="1" applyFont="1" applyBorder="1"/>
    <xf numFmtId="9" fontId="23" fillId="0" borderId="110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77" fillId="0" borderId="66" xfId="0" applyFont="1" applyBorder="1"/>
    <xf numFmtId="38" fontId="181" fillId="0" borderId="66" xfId="0" applyNumberFormat="1" applyFont="1" applyBorder="1"/>
    <xf numFmtId="5" fontId="181" fillId="0" borderId="57" xfId="0" applyNumberFormat="1" applyFont="1" applyBorder="1"/>
    <xf numFmtId="5" fontId="181" fillId="0" borderId="108" xfId="0" applyNumberFormat="1" applyFont="1" applyBorder="1"/>
    <xf numFmtId="5" fontId="181" fillId="0" borderId="109" xfId="0" applyNumberFormat="1" applyFont="1" applyBorder="1"/>
    <xf numFmtId="6" fontId="181" fillId="0" borderId="14" xfId="0" applyNumberFormat="1" applyFont="1" applyBorder="1"/>
    <xf numFmtId="0" fontId="177" fillId="0" borderId="57" xfId="0" applyFont="1" applyBorder="1"/>
    <xf numFmtId="38" fontId="181" fillId="0" borderId="15" xfId="0" applyNumberFormat="1" applyFont="1" applyBorder="1"/>
    <xf numFmtId="6" fontId="177" fillId="0" borderId="96" xfId="0" applyNumberFormat="1" applyFont="1" applyBorder="1"/>
    <xf numFmtId="5" fontId="181" fillId="4" borderId="8" xfId="0" applyNumberFormat="1" applyFont="1" applyFill="1" applyBorder="1"/>
    <xf numFmtId="5" fontId="181" fillId="4" borderId="66" xfId="0" applyNumberFormat="1" applyFont="1" applyFill="1" applyBorder="1"/>
    <xf numFmtId="5" fontId="181" fillId="4" borderId="65" xfId="0" applyNumberFormat="1" applyFont="1" applyFill="1" applyBorder="1"/>
    <xf numFmtId="6" fontId="181" fillId="4" borderId="8" xfId="0" applyNumberFormat="1" applyFont="1" applyFill="1" applyBorder="1"/>
    <xf numFmtId="0" fontId="181" fillId="0" borderId="105" xfId="0" applyFont="1" applyBorder="1" applyAlignment="1">
      <alignment horizontal="center"/>
    </xf>
    <xf numFmtId="0" fontId="181" fillId="0" borderId="66" xfId="0" applyFont="1" applyBorder="1" applyAlignment="1">
      <alignment horizontal="center"/>
    </xf>
    <xf numFmtId="166" fontId="23" fillId="0" borderId="78" xfId="22" applyNumberFormat="1" applyFont="1" applyBorder="1"/>
    <xf numFmtId="0" fontId="177" fillId="0" borderId="67" xfId="0" applyFont="1" applyBorder="1"/>
    <xf numFmtId="38" fontId="181" fillId="0" borderId="83" xfId="0" applyNumberFormat="1" applyFont="1" applyBorder="1"/>
    <xf numFmtId="0" fontId="177" fillId="4" borderId="2" xfId="0" applyFont="1" applyFill="1" applyBorder="1"/>
    <xf numFmtId="6" fontId="177" fillId="0" borderId="101" xfId="0" applyNumberFormat="1" applyFont="1" applyBorder="1"/>
    <xf numFmtId="5" fontId="177" fillId="0" borderId="95" xfId="0" applyNumberFormat="1" applyFont="1" applyBorder="1"/>
    <xf numFmtId="169" fontId="177" fillId="0" borderId="106" xfId="18" applyNumberFormat="1" applyFont="1" applyBorder="1"/>
    <xf numFmtId="5" fontId="177" fillId="4" borderId="8" xfId="0" applyNumberFormat="1" applyFont="1" applyFill="1" applyBorder="1"/>
    <xf numFmtId="5" fontId="177" fillId="4" borderId="66" xfId="0" applyNumberFormat="1" applyFont="1" applyFill="1" applyBorder="1"/>
    <xf numFmtId="37" fontId="177" fillId="0" borderId="0" xfId="0" applyNumberFormat="1" applyFont="1"/>
    <xf numFmtId="177" fontId="23" fillId="0" borderId="0" xfId="22" applyNumberFormat="1" applyFont="1" applyFill="1" applyBorder="1" applyAlignment="1">
      <alignment horizontal="left" vertical="center"/>
    </xf>
    <xf numFmtId="0" fontId="176" fillId="38" borderId="66" xfId="0" applyFont="1" applyFill="1" applyBorder="1" applyAlignment="1">
      <alignment horizontal="center"/>
    </xf>
    <xf numFmtId="0" fontId="176" fillId="38" borderId="63" xfId="0" applyFont="1" applyFill="1" applyBorder="1" applyAlignment="1">
      <alignment horizontal="center"/>
    </xf>
    <xf numFmtId="0" fontId="176" fillId="38" borderId="3" xfId="0" applyFont="1" applyFill="1" applyBorder="1" applyAlignment="1">
      <alignment horizontal="center" wrapText="1"/>
    </xf>
    <xf numFmtId="174" fontId="192" fillId="0" borderId="68" xfId="0" applyNumberFormat="1" applyFont="1" applyBorder="1" applyAlignment="1">
      <alignment horizontal="left"/>
    </xf>
    <xf numFmtId="6" fontId="192" fillId="37" borderId="6" xfId="1347" applyNumberFormat="1" applyFont="1" applyFill="1" applyBorder="1" applyAlignment="1">
      <alignment horizontal="center"/>
    </xf>
    <xf numFmtId="6" fontId="192" fillId="37" borderId="78" xfId="1347" applyNumberFormat="1" applyFont="1" applyFill="1" applyBorder="1" applyAlignment="1">
      <alignment horizontal="center"/>
    </xf>
    <xf numFmtId="165" fontId="192" fillId="37" borderId="89" xfId="1358" applyNumberFormat="1" applyFont="1" applyFill="1" applyBorder="1" applyAlignment="1">
      <alignment horizontal="center" vertical="center"/>
    </xf>
    <xf numFmtId="0" fontId="23" fillId="37" borderId="99" xfId="1347" applyFont="1" applyFill="1" applyBorder="1" applyAlignment="1">
      <alignment horizontal="center" vertical="center"/>
    </xf>
    <xf numFmtId="0" fontId="23" fillId="9" borderId="95" xfId="1347" applyFont="1" applyFill="1" applyBorder="1" applyAlignment="1">
      <alignment horizontal="center"/>
    </xf>
    <xf numFmtId="0" fontId="23" fillId="9" borderId="96" xfId="1347" applyFont="1" applyFill="1" applyBorder="1" applyAlignment="1">
      <alignment horizontal="center"/>
    </xf>
    <xf numFmtId="172" fontId="181" fillId="0" borderId="66" xfId="0" applyNumberFormat="1" applyFont="1" applyBorder="1" applyAlignment="1">
      <alignment horizontal="center"/>
    </xf>
    <xf numFmtId="172" fontId="181" fillId="0" borderId="66" xfId="0" applyNumberFormat="1" applyFont="1" applyBorder="1"/>
    <xf numFmtId="0" fontId="181" fillId="0" borderId="0" xfId="0" applyFont="1"/>
    <xf numFmtId="0" fontId="181" fillId="0" borderId="15" xfId="0" applyFont="1" applyBorder="1" applyAlignment="1">
      <alignment horizontal="center"/>
    </xf>
    <xf numFmtId="0" fontId="177" fillId="9" borderId="103" xfId="0" applyFont="1" applyFill="1" applyBorder="1"/>
    <xf numFmtId="10" fontId="177" fillId="9" borderId="103" xfId="0" applyNumberFormat="1" applyFont="1" applyFill="1" applyBorder="1"/>
    <xf numFmtId="5" fontId="177" fillId="0" borderId="83" xfId="0" applyNumberFormat="1" applyFont="1" applyBorder="1"/>
    <xf numFmtId="6" fontId="177" fillId="0" borderId="95" xfId="0" applyNumberFormat="1" applyFont="1" applyBorder="1"/>
    <xf numFmtId="167" fontId="180" fillId="9" borderId="59" xfId="0" applyNumberFormat="1" applyFont="1" applyFill="1" applyBorder="1"/>
    <xf numFmtId="0" fontId="178" fillId="0" borderId="93" xfId="0" applyFont="1" applyBorder="1" applyAlignment="1">
      <alignment horizontal="center"/>
    </xf>
    <xf numFmtId="14" fontId="23" fillId="9" borderId="94" xfId="0" applyNumberFormat="1" applyFont="1" applyFill="1" applyBorder="1" applyAlignment="1">
      <alignment horizontal="right" vertical="center"/>
    </xf>
    <xf numFmtId="0" fontId="193" fillId="0" borderId="55" xfId="0" applyFont="1" applyBorder="1" applyAlignment="1">
      <alignment horizontal="center"/>
    </xf>
    <xf numFmtId="0" fontId="193" fillId="0" borderId="55" xfId="0" applyFont="1" applyBorder="1"/>
    <xf numFmtId="9" fontId="23" fillId="0" borderId="83" xfId="0" applyNumberFormat="1" applyFont="1" applyBorder="1" applyAlignment="1">
      <alignment horizontal="center"/>
    </xf>
    <xf numFmtId="0" fontId="177" fillId="4" borderId="113" xfId="0" applyFont="1" applyFill="1" applyBorder="1"/>
    <xf numFmtId="5" fontId="177" fillId="0" borderId="66" xfId="0" applyNumberFormat="1" applyFont="1" applyBorder="1"/>
    <xf numFmtId="5" fontId="181" fillId="0" borderId="0" xfId="0" applyNumberFormat="1" applyFont="1"/>
    <xf numFmtId="166" fontId="177" fillId="4" borderId="0" xfId="0" applyNumberFormat="1" applyFont="1" applyFill="1"/>
    <xf numFmtId="5" fontId="177" fillId="0" borderId="9" xfId="0" applyNumberFormat="1" applyFont="1" applyBorder="1"/>
    <xf numFmtId="0" fontId="176" fillId="38" borderId="102" xfId="0" applyFont="1" applyFill="1" applyBorder="1" applyAlignment="1">
      <alignment horizontal="center" wrapText="1"/>
    </xf>
    <xf numFmtId="49" fontId="175" fillId="38" borderId="110" xfId="0" applyNumberFormat="1" applyFont="1" applyFill="1" applyBorder="1" applyAlignment="1">
      <alignment horizontal="center" vertical="center" wrapText="1"/>
    </xf>
    <xf numFmtId="49" fontId="175" fillId="38" borderId="110" xfId="0" applyNumberFormat="1" applyFont="1" applyFill="1" applyBorder="1" applyAlignment="1">
      <alignment horizontal="center" vertical="center"/>
    </xf>
    <xf numFmtId="49" fontId="177" fillId="38" borderId="110" xfId="0" applyNumberFormat="1" applyFont="1" applyFill="1" applyBorder="1" applyAlignment="1">
      <alignment horizontal="center" vertical="center" wrapText="1"/>
    </xf>
    <xf numFmtId="0" fontId="181" fillId="0" borderId="65" xfId="0" applyFont="1" applyBorder="1"/>
    <xf numFmtId="166" fontId="175" fillId="0" borderId="0" xfId="0" applyNumberFormat="1" applyFont="1" applyAlignment="1">
      <alignment horizontal="center"/>
    </xf>
    <xf numFmtId="166" fontId="175" fillId="0" borderId="0" xfId="0" applyNumberFormat="1" applyFont="1"/>
    <xf numFmtId="0" fontId="15" fillId="0" borderId="94" xfId="0" applyFont="1" applyBorder="1" applyAlignment="1">
      <alignment wrapText="1"/>
    </xf>
    <xf numFmtId="6" fontId="177" fillId="0" borderId="15" xfId="0" applyNumberFormat="1" applyFont="1" applyBorder="1"/>
    <xf numFmtId="10" fontId="177" fillId="0" borderId="114" xfId="0" applyNumberFormat="1" applyFont="1" applyBorder="1"/>
    <xf numFmtId="10" fontId="181" fillId="0" borderId="114" xfId="0" applyNumberFormat="1" applyFont="1" applyBorder="1"/>
    <xf numFmtId="5" fontId="177" fillId="0" borderId="114" xfId="0" applyNumberFormat="1" applyFont="1" applyBorder="1"/>
    <xf numFmtId="6" fontId="177" fillId="0" borderId="99" xfId="0" applyNumberFormat="1" applyFont="1" applyBorder="1"/>
    <xf numFmtId="5" fontId="23" fillId="0" borderId="3" xfId="0" applyNumberFormat="1" applyFont="1" applyBorder="1" applyAlignment="1">
      <alignment horizontal="center" vertical="center"/>
    </xf>
    <xf numFmtId="37" fontId="15" fillId="0" borderId="61" xfId="22" applyNumberFormat="1" applyFont="1" applyBorder="1" applyAlignment="1">
      <alignment horizontal="center"/>
    </xf>
    <xf numFmtId="166" fontId="23" fillId="0" borderId="61" xfId="22" applyNumberFormat="1" applyFont="1" applyBorder="1" applyAlignment="1">
      <alignment horizontal="center"/>
    </xf>
    <xf numFmtId="167" fontId="192" fillId="9" borderId="59" xfId="0" applyNumberFormat="1" applyFont="1" applyFill="1" applyBorder="1"/>
    <xf numFmtId="167" fontId="192" fillId="9" borderId="103" xfId="0" applyNumberFormat="1" applyFont="1" applyFill="1" applyBorder="1"/>
    <xf numFmtId="0" fontId="188" fillId="0" borderId="0" xfId="0" applyFont="1"/>
    <xf numFmtId="0" fontId="192" fillId="0" borderId="0" xfId="0" applyFont="1"/>
    <xf numFmtId="0" fontId="193" fillId="0" borderId="0" xfId="0" applyFont="1"/>
    <xf numFmtId="172" fontId="181" fillId="0" borderId="64" xfId="0" applyNumberFormat="1" applyFont="1" applyBorder="1"/>
    <xf numFmtId="0" fontId="193" fillId="0" borderId="104" xfId="0" applyFont="1" applyBorder="1" applyAlignment="1">
      <alignment horizontal="center"/>
    </xf>
    <xf numFmtId="0" fontId="193" fillId="0" borderId="104" xfId="0" applyFont="1" applyBorder="1"/>
    <xf numFmtId="172" fontId="181" fillId="0" borderId="116" xfId="0" applyNumberFormat="1" applyFont="1" applyBorder="1"/>
    <xf numFmtId="166" fontId="188" fillId="0" borderId="0" xfId="0" applyNumberFormat="1" applyFont="1"/>
    <xf numFmtId="167" fontId="192" fillId="9" borderId="83" xfId="0" applyNumberFormat="1" applyFont="1" applyFill="1" applyBorder="1"/>
    <xf numFmtId="6" fontId="188" fillId="0" borderId="0" xfId="0" applyNumberFormat="1" applyFont="1"/>
    <xf numFmtId="0" fontId="188" fillId="0" borderId="2" xfId="0" applyFont="1" applyBorder="1"/>
    <xf numFmtId="0" fontId="181" fillId="0" borderId="104" xfId="0" applyFont="1" applyBorder="1"/>
    <xf numFmtId="0" fontId="181" fillId="0" borderId="99" xfId="0" applyFont="1" applyBorder="1"/>
    <xf numFmtId="167" fontId="23" fillId="9" borderId="103" xfId="0" applyNumberFormat="1" applyFont="1" applyFill="1" applyBorder="1"/>
    <xf numFmtId="5" fontId="188" fillId="0" borderId="0" xfId="0" applyNumberFormat="1" applyFont="1"/>
    <xf numFmtId="0" fontId="15" fillId="0" borderId="122" xfId="0" applyFont="1" applyBorder="1" applyAlignment="1">
      <alignment wrapText="1"/>
    </xf>
    <xf numFmtId="0" fontId="15" fillId="0" borderId="122" xfId="0" applyFont="1" applyBorder="1"/>
    <xf numFmtId="0" fontId="181" fillId="0" borderId="116" xfId="0" applyFont="1" applyBorder="1" applyAlignment="1">
      <alignment horizontal="center"/>
    </xf>
    <xf numFmtId="6" fontId="177" fillId="0" borderId="116" xfId="0" applyNumberFormat="1" applyFont="1" applyBorder="1"/>
    <xf numFmtId="6" fontId="177" fillId="0" borderId="116" xfId="0" applyNumberFormat="1" applyFont="1" applyBorder="1" applyAlignment="1">
      <alignment horizontal="center"/>
    </xf>
    <xf numFmtId="0" fontId="23" fillId="0" borderId="97" xfId="0" applyFont="1" applyBorder="1" applyAlignment="1">
      <alignment wrapText="1"/>
    </xf>
    <xf numFmtId="6" fontId="177" fillId="0" borderId="98" xfId="0" applyNumberFormat="1" applyFont="1" applyBorder="1" applyAlignment="1">
      <alignment horizontal="center"/>
    </xf>
    <xf numFmtId="6" fontId="177" fillId="0" borderId="99" xfId="0" applyNumberFormat="1" applyFont="1" applyBorder="1" applyAlignment="1">
      <alignment horizontal="center"/>
    </xf>
    <xf numFmtId="0" fontId="15" fillId="0" borderId="126" xfId="0" applyFont="1" applyBorder="1"/>
    <xf numFmtId="0" fontId="190" fillId="0" borderId="97" xfId="0" applyFont="1" applyBorder="1" applyAlignment="1">
      <alignment wrapText="1"/>
    </xf>
    <xf numFmtId="0" fontId="175" fillId="38" borderId="122" xfId="0" applyFont="1" applyFill="1" applyBorder="1" applyAlignment="1">
      <alignment horizontal="center" vertical="center" wrapText="1"/>
    </xf>
    <xf numFmtId="0" fontId="175" fillId="38" borderId="116" xfId="0" applyFont="1" applyFill="1" applyBorder="1" applyAlignment="1">
      <alignment horizontal="center" vertical="center"/>
    </xf>
    <xf numFmtId="0" fontId="175" fillId="38" borderId="116" xfId="0" applyFont="1" applyFill="1" applyBorder="1" applyAlignment="1">
      <alignment horizontal="center" vertical="center" wrapText="1"/>
    </xf>
    <xf numFmtId="9" fontId="187" fillId="38" borderId="118" xfId="0" applyNumberFormat="1" applyFont="1" applyFill="1" applyBorder="1" applyAlignment="1">
      <alignment horizontal="center" vertical="center" wrapText="1"/>
    </xf>
    <xf numFmtId="9" fontId="187" fillId="38" borderId="118" xfId="0" applyNumberFormat="1" applyFont="1" applyFill="1" applyBorder="1" applyAlignment="1">
      <alignment horizontal="center" vertical="center"/>
    </xf>
    <xf numFmtId="0" fontId="175" fillId="38" borderId="124" xfId="0" applyFont="1" applyFill="1" applyBorder="1" applyAlignment="1">
      <alignment horizontal="center" vertical="center" wrapText="1"/>
    </xf>
    <xf numFmtId="0" fontId="175" fillId="38" borderId="123" xfId="0" applyFont="1" applyFill="1" applyBorder="1" applyAlignment="1">
      <alignment horizontal="center" vertical="center" wrapText="1"/>
    </xf>
    <xf numFmtId="0" fontId="175" fillId="38" borderId="123" xfId="0" applyFont="1" applyFill="1" applyBorder="1" applyAlignment="1">
      <alignment horizontal="center" vertical="center"/>
    </xf>
    <xf numFmtId="9" fontId="187" fillId="38" borderId="125" xfId="0" applyNumberFormat="1" applyFont="1" applyFill="1" applyBorder="1" applyAlignment="1">
      <alignment horizontal="center" vertical="center"/>
    </xf>
    <xf numFmtId="49" fontId="175" fillId="38" borderId="129" xfId="0" applyNumberFormat="1" applyFont="1" applyFill="1" applyBorder="1" applyAlignment="1">
      <alignment horizontal="center" vertical="center"/>
    </xf>
    <xf numFmtId="0" fontId="176" fillId="38" borderId="124" xfId="0" applyFont="1" applyFill="1" applyBorder="1" applyAlignment="1">
      <alignment horizontal="center" vertical="center" wrapText="1"/>
    </xf>
    <xf numFmtId="9" fontId="187" fillId="38" borderId="125" xfId="0" applyNumberFormat="1" applyFont="1" applyFill="1" applyBorder="1" applyAlignment="1">
      <alignment horizontal="center" vertical="center" wrapText="1"/>
    </xf>
    <xf numFmtId="167" fontId="192" fillId="0" borderId="116" xfId="1" applyNumberFormat="1" applyFont="1" applyBorder="1" applyAlignment="1">
      <alignment horizontal="center"/>
    </xf>
    <xf numFmtId="0" fontId="23" fillId="0" borderId="116" xfId="2" applyFont="1" applyBorder="1"/>
    <xf numFmtId="178" fontId="15" fillId="0" borderId="122" xfId="0" applyNumberFormat="1" applyFont="1" applyBorder="1" applyAlignment="1">
      <alignment horizontal="left"/>
    </xf>
    <xf numFmtId="38" fontId="192" fillId="0" borderId="116" xfId="22" applyNumberFormat="1" applyFont="1" applyBorder="1" applyAlignment="1">
      <alignment horizontal="center"/>
    </xf>
    <xf numFmtId="38" fontId="15" fillId="0" borderId="116" xfId="22" applyNumberFormat="1" applyFont="1" applyBorder="1" applyAlignment="1">
      <alignment horizontal="center"/>
    </xf>
    <xf numFmtId="8" fontId="15" fillId="0" borderId="116" xfId="0" applyNumberFormat="1" applyFont="1" applyBorder="1" applyAlignment="1">
      <alignment horizontal="center"/>
    </xf>
    <xf numFmtId="164" fontId="15" fillId="0" borderId="116" xfId="22" applyNumberFormat="1" applyFont="1" applyBorder="1" applyAlignment="1">
      <alignment horizontal="center"/>
    </xf>
    <xf numFmtId="178" fontId="15" fillId="0" borderId="63" xfId="0" applyNumberFormat="1" applyFont="1" applyBorder="1" applyAlignment="1">
      <alignment horizontal="left"/>
    </xf>
    <xf numFmtId="38" fontId="192" fillId="0" borderId="66" xfId="22" applyNumberFormat="1" applyFont="1" applyBorder="1" applyAlignment="1">
      <alignment horizontal="center"/>
    </xf>
    <xf numFmtId="8" fontId="177" fillId="0" borderId="116" xfId="0" applyNumberFormat="1" applyFont="1" applyBorder="1" applyAlignment="1">
      <alignment horizontal="center"/>
    </xf>
    <xf numFmtId="164" fontId="15" fillId="0" borderId="120" xfId="22" applyNumberFormat="1" applyFont="1" applyBorder="1" applyAlignment="1">
      <alignment horizontal="center"/>
    </xf>
    <xf numFmtId="6" fontId="181" fillId="0" borderId="116" xfId="0" applyNumberFormat="1" applyFont="1" applyBorder="1" applyAlignment="1">
      <alignment horizontal="center"/>
    </xf>
    <xf numFmtId="0" fontId="24" fillId="0" borderId="122" xfId="14" applyFont="1" applyBorder="1"/>
    <xf numFmtId="3" fontId="192" fillId="0" borderId="116" xfId="14" applyNumberFormat="1" applyFont="1" applyBorder="1" applyAlignment="1">
      <alignment horizontal="center"/>
    </xf>
    <xf numFmtId="6" fontId="15" fillId="0" borderId="116" xfId="0" applyNumberFormat="1" applyFont="1" applyBorder="1"/>
    <xf numFmtId="0" fontId="24" fillId="0" borderId="126" xfId="14" applyFont="1" applyBorder="1"/>
    <xf numFmtId="3" fontId="192" fillId="0" borderId="127" xfId="14" applyNumberFormat="1" applyFont="1" applyBorder="1" applyAlignment="1">
      <alignment horizontal="center"/>
    </xf>
    <xf numFmtId="8" fontId="15" fillId="0" borderId="127" xfId="0" applyNumberFormat="1" applyFont="1" applyBorder="1"/>
    <xf numFmtId="6" fontId="15" fillId="0" borderId="127" xfId="0" applyNumberFormat="1" applyFont="1" applyBorder="1"/>
    <xf numFmtId="0" fontId="178" fillId="8" borderId="97" xfId="0" applyFont="1" applyFill="1" applyBorder="1" applyAlignment="1">
      <alignment horizontal="left"/>
    </xf>
    <xf numFmtId="3" fontId="178" fillId="8" borderId="99" xfId="0" applyNumberFormat="1" applyFont="1" applyFill="1" applyBorder="1"/>
    <xf numFmtId="3" fontId="192" fillId="0" borderId="118" xfId="0" applyNumberFormat="1" applyFont="1" applyBorder="1"/>
    <xf numFmtId="0" fontId="178" fillId="8" borderId="97" xfId="0" applyFont="1" applyFill="1" applyBorder="1"/>
    <xf numFmtId="175" fontId="178" fillId="8" borderId="97" xfId="0" applyNumberFormat="1" applyFont="1" applyFill="1" applyBorder="1"/>
    <xf numFmtId="0" fontId="15" fillId="0" borderId="122" xfId="0" applyFont="1" applyBorder="1" applyAlignment="1">
      <alignment horizontal="right"/>
    </xf>
    <xf numFmtId="168" fontId="15" fillId="0" borderId="118" xfId="22" applyNumberFormat="1" applyFont="1" applyFill="1" applyBorder="1" applyAlignment="1">
      <alignment horizontal="center"/>
    </xf>
    <xf numFmtId="281" fontId="15" fillId="0" borderId="122" xfId="0" applyNumberFormat="1" applyFont="1" applyBorder="1" applyAlignment="1">
      <alignment horizontal="right"/>
    </xf>
    <xf numFmtId="280" fontId="192" fillId="0" borderId="122" xfId="0" applyNumberFormat="1" applyFont="1" applyBorder="1" applyAlignment="1">
      <alignment horizontal="right"/>
    </xf>
    <xf numFmtId="279" fontId="192" fillId="0" borderId="124" xfId="0" applyNumberFormat="1" applyFont="1" applyBorder="1"/>
    <xf numFmtId="168" fontId="15" fillId="0" borderId="125" xfId="22" applyNumberFormat="1" applyFont="1" applyFill="1" applyBorder="1" applyAlignment="1">
      <alignment horizontal="center"/>
    </xf>
    <xf numFmtId="0" fontId="178" fillId="8" borderId="79" xfId="0" applyFont="1" applyFill="1" applyBorder="1" applyAlignment="1">
      <alignment horizontal="left"/>
    </xf>
    <xf numFmtId="0" fontId="178" fillId="8" borderId="80" xfId="0" applyFont="1" applyFill="1" applyBorder="1" applyAlignment="1">
      <alignment horizontal="center"/>
    </xf>
    <xf numFmtId="0" fontId="178" fillId="8" borderId="81" xfId="0" applyFont="1" applyFill="1" applyBorder="1" applyAlignment="1">
      <alignment horizontal="center"/>
    </xf>
    <xf numFmtId="0" fontId="15" fillId="11" borderId="63" xfId="0" applyFont="1" applyFill="1" applyBorder="1"/>
    <xf numFmtId="5" fontId="15" fillId="11" borderId="66" xfId="22" applyNumberFormat="1" applyFont="1" applyFill="1" applyBorder="1" applyAlignment="1">
      <alignment horizontal="center"/>
    </xf>
    <xf numFmtId="165" fontId="15" fillId="11" borderId="66" xfId="22" applyNumberFormat="1" applyFont="1" applyFill="1" applyBorder="1" applyAlignment="1">
      <alignment horizontal="center"/>
    </xf>
    <xf numFmtId="260" fontId="15" fillId="0" borderId="119" xfId="0" applyNumberFormat="1" applyFont="1" applyBorder="1" applyAlignment="1">
      <alignment horizontal="left"/>
    </xf>
    <xf numFmtId="260" fontId="15" fillId="0" borderId="116" xfId="0" applyNumberFormat="1" applyFont="1" applyBorder="1" applyAlignment="1">
      <alignment horizontal="left"/>
    </xf>
    <xf numFmtId="5" fontId="23" fillId="0" borderId="116" xfId="22" applyNumberFormat="1" applyFont="1" applyBorder="1" applyAlignment="1">
      <alignment horizontal="center"/>
    </xf>
    <xf numFmtId="260" fontId="23" fillId="0" borderId="115" xfId="0" applyNumberFormat="1" applyFont="1" applyBorder="1" applyAlignment="1">
      <alignment horizontal="left"/>
    </xf>
    <xf numFmtId="5" fontId="15" fillId="0" borderId="116" xfId="22" applyNumberFormat="1" applyFont="1" applyBorder="1" applyAlignment="1">
      <alignment horizontal="center"/>
    </xf>
    <xf numFmtId="7" fontId="15" fillId="0" borderId="116" xfId="22" applyNumberFormat="1" applyFont="1" applyBorder="1" applyAlignment="1">
      <alignment horizontal="center"/>
    </xf>
    <xf numFmtId="5" fontId="23" fillId="3" borderId="91" xfId="22" applyNumberFormat="1" applyFont="1" applyFill="1" applyBorder="1" applyAlignment="1">
      <alignment horizontal="left"/>
    </xf>
    <xf numFmtId="165" fontId="23" fillId="3" borderId="92" xfId="22" applyNumberFormat="1" applyFont="1" applyFill="1" applyBorder="1" applyAlignment="1">
      <alignment horizontal="center"/>
    </xf>
    <xf numFmtId="0" fontId="181" fillId="30" borderId="79" xfId="0" applyFont="1" applyFill="1" applyBorder="1"/>
    <xf numFmtId="166" fontId="181" fillId="30" borderId="80" xfId="0" applyNumberFormat="1" applyFont="1" applyFill="1" applyBorder="1" applyAlignment="1">
      <alignment horizontal="center"/>
    </xf>
    <xf numFmtId="165" fontId="181" fillId="30" borderId="80" xfId="0" applyNumberFormat="1" applyFont="1" applyFill="1" applyBorder="1" applyAlignment="1">
      <alignment horizontal="center"/>
    </xf>
    <xf numFmtId="0" fontId="178" fillId="8" borderId="93" xfId="2" applyFont="1" applyFill="1" applyBorder="1"/>
    <xf numFmtId="166" fontId="178" fillId="8" borderId="125" xfId="2" applyNumberFormat="1" applyFont="1" applyFill="1" applyBorder="1"/>
    <xf numFmtId="5" fontId="15" fillId="0" borderId="95" xfId="22" applyNumberFormat="1" applyFont="1" applyFill="1" applyBorder="1" applyAlignment="1">
      <alignment horizontal="center"/>
    </xf>
    <xf numFmtId="261" fontId="192" fillId="0" borderId="116" xfId="0" applyNumberFormat="1" applyFont="1" applyBorder="1" applyAlignment="1">
      <alignment horizontal="center"/>
    </xf>
    <xf numFmtId="0" fontId="177" fillId="0" borderId="116" xfId="0" applyFont="1" applyBorder="1" applyAlignment="1">
      <alignment horizontal="center" wrapText="1"/>
    </xf>
    <xf numFmtId="5" fontId="15" fillId="0" borderId="66" xfId="22" applyNumberFormat="1" applyFont="1" applyBorder="1" applyAlignment="1">
      <alignment horizontal="center"/>
    </xf>
    <xf numFmtId="0" fontId="177" fillId="0" borderId="116" xfId="0" applyFont="1" applyBorder="1" applyAlignment="1">
      <alignment horizontal="center"/>
    </xf>
    <xf numFmtId="5" fontId="15" fillId="0" borderId="116" xfId="22" applyNumberFormat="1" applyFont="1" applyFill="1" applyBorder="1" applyAlignment="1">
      <alignment horizontal="center"/>
    </xf>
    <xf numFmtId="5" fontId="177" fillId="0" borderId="116" xfId="22" applyNumberFormat="1" applyFont="1" applyFill="1" applyBorder="1" applyAlignment="1">
      <alignment horizontal="center"/>
    </xf>
    <xf numFmtId="10" fontId="177" fillId="0" borderId="116" xfId="1" applyNumberFormat="1" applyFont="1" applyBorder="1" applyAlignment="1">
      <alignment horizontal="center"/>
    </xf>
    <xf numFmtId="182" fontId="15" fillId="0" borderId="122" xfId="0" applyNumberFormat="1" applyFont="1" applyBorder="1"/>
    <xf numFmtId="269" fontId="177" fillId="0" borderId="127" xfId="1" applyNumberFormat="1" applyFont="1" applyBorder="1" applyAlignment="1">
      <alignment horizontal="center"/>
    </xf>
    <xf numFmtId="5" fontId="15" fillId="0" borderId="127" xfId="22" applyNumberFormat="1" applyFont="1" applyBorder="1" applyAlignment="1">
      <alignment horizontal="center"/>
    </xf>
    <xf numFmtId="0" fontId="23" fillId="3" borderId="83" xfId="0" applyFont="1" applyFill="1" applyBorder="1"/>
    <xf numFmtId="0" fontId="177" fillId="3" borderId="83" xfId="0" applyFont="1" applyFill="1" applyBorder="1"/>
    <xf numFmtId="0" fontId="23" fillId="3" borderId="94" xfId="0" applyFont="1" applyFill="1" applyBorder="1"/>
    <xf numFmtId="167" fontId="23" fillId="3" borderId="96" xfId="1" applyNumberFormat="1" applyFont="1" applyFill="1" applyBorder="1" applyAlignment="1">
      <alignment horizontal="center"/>
    </xf>
    <xf numFmtId="0" fontId="23" fillId="3" borderId="122" xfId="0" applyFont="1" applyFill="1" applyBorder="1"/>
    <xf numFmtId="167" fontId="23" fillId="3" borderId="118" xfId="1" applyNumberFormat="1" applyFont="1" applyFill="1" applyBorder="1" applyAlignment="1">
      <alignment horizontal="center"/>
    </xf>
    <xf numFmtId="295" fontId="192" fillId="3" borderId="124" xfId="0" applyNumberFormat="1" applyFont="1" applyFill="1" applyBorder="1" applyAlignment="1">
      <alignment horizontal="left"/>
    </xf>
    <xf numFmtId="6" fontId="23" fillId="3" borderId="125" xfId="1" applyNumberFormat="1" applyFont="1" applyFill="1" applyBorder="1" applyAlignment="1">
      <alignment horizontal="center"/>
    </xf>
    <xf numFmtId="273" fontId="192" fillId="3" borderId="122" xfId="0" applyNumberFormat="1" applyFont="1" applyFill="1" applyBorder="1" applyAlignment="1">
      <alignment horizontal="left"/>
    </xf>
    <xf numFmtId="175" fontId="178" fillId="6" borderId="81" xfId="0" applyNumberFormat="1" applyFont="1" applyFill="1" applyBorder="1"/>
    <xf numFmtId="0" fontId="181" fillId="0" borderId="77" xfId="0" applyFont="1" applyBorder="1" applyAlignment="1">
      <alignment horizontal="left"/>
    </xf>
    <xf numFmtId="0" fontId="181" fillId="0" borderId="93" xfId="0" applyFont="1" applyBorder="1" applyAlignment="1">
      <alignment horizontal="center"/>
    </xf>
    <xf numFmtId="0" fontId="181" fillId="0" borderId="78" xfId="0" applyFont="1" applyBorder="1" applyAlignment="1">
      <alignment horizontal="center"/>
    </xf>
    <xf numFmtId="6" fontId="181" fillId="0" borderId="116" xfId="0" applyNumberFormat="1" applyFont="1" applyBorder="1" applyAlignment="1">
      <alignment horizontal="center" vertical="center"/>
    </xf>
    <xf numFmtId="181" fontId="15" fillId="0" borderId="126" xfId="0" applyNumberFormat="1" applyFont="1" applyBorder="1" applyAlignment="1">
      <alignment horizontal="right"/>
    </xf>
    <xf numFmtId="5" fontId="15" fillId="0" borderId="128" xfId="22" applyNumberFormat="1" applyFont="1" applyBorder="1" applyAlignment="1">
      <alignment horizontal="center" vertical="center"/>
    </xf>
    <xf numFmtId="5" fontId="23" fillId="0" borderId="66" xfId="0" applyNumberFormat="1" applyFont="1" applyBorder="1" applyAlignment="1">
      <alignment horizontal="center" vertical="center"/>
    </xf>
    <xf numFmtId="0" fontId="178" fillId="0" borderId="77" xfId="0" applyFont="1" applyBorder="1" applyAlignment="1">
      <alignment horizontal="center"/>
    </xf>
    <xf numFmtId="0" fontId="178" fillId="0" borderId="78" xfId="0" applyFont="1" applyBorder="1" applyAlignment="1">
      <alignment horizontal="center"/>
    </xf>
    <xf numFmtId="0" fontId="181" fillId="0" borderId="104" xfId="0" applyFont="1" applyBorder="1" applyAlignment="1">
      <alignment horizontal="center"/>
    </xf>
    <xf numFmtId="0" fontId="15" fillId="0" borderId="101" xfId="0" applyFont="1" applyBorder="1"/>
    <xf numFmtId="37" fontId="15" fillId="0" borderId="102" xfId="22" applyNumberFormat="1" applyFont="1" applyBorder="1" applyAlignment="1">
      <alignment horizontal="center"/>
    </xf>
    <xf numFmtId="37" fontId="15" fillId="0" borderId="102" xfId="22" applyNumberFormat="1" applyFont="1" applyBorder="1"/>
    <xf numFmtId="173" fontId="192" fillId="0" borderId="130" xfId="0" applyNumberFormat="1" applyFont="1" applyBorder="1" applyAlignment="1" applyProtection="1">
      <alignment horizontal="left"/>
      <protection locked="0"/>
    </xf>
    <xf numFmtId="5" fontId="15" fillId="0" borderId="131" xfId="22" applyNumberFormat="1" applyFont="1" applyBorder="1" applyAlignment="1">
      <alignment horizontal="center"/>
    </xf>
    <xf numFmtId="37" fontId="15" fillId="0" borderId="131" xfId="22" applyNumberFormat="1" applyFont="1" applyBorder="1"/>
    <xf numFmtId="0" fontId="15" fillId="0" borderId="77" xfId="0" applyFont="1" applyBorder="1"/>
    <xf numFmtId="0" fontId="15" fillId="0" borderId="130" xfId="0" applyFont="1" applyBorder="1"/>
    <xf numFmtId="37" fontId="15" fillId="0" borderId="131" xfId="22" applyNumberFormat="1" applyFont="1" applyBorder="1" applyAlignment="1">
      <alignment horizontal="center"/>
    </xf>
    <xf numFmtId="0" fontId="15" fillId="0" borderId="114" xfId="0" applyFont="1" applyBorder="1" applyAlignment="1">
      <alignment horizontal="right"/>
    </xf>
    <xf numFmtId="166" fontId="177" fillId="0" borderId="110" xfId="18" applyNumberFormat="1" applyFont="1" applyBorder="1" applyAlignment="1">
      <alignment horizontal="center"/>
    </xf>
    <xf numFmtId="166" fontId="177" fillId="0" borderId="132" xfId="0" applyNumberFormat="1" applyFont="1" applyBorder="1" applyAlignment="1">
      <alignment horizontal="right"/>
    </xf>
    <xf numFmtId="166" fontId="177" fillId="0" borderId="129" xfId="0" applyNumberFormat="1" applyFont="1" applyBorder="1" applyAlignment="1">
      <alignment horizontal="center"/>
    </xf>
    <xf numFmtId="0" fontId="15" fillId="0" borderId="114" xfId="0" applyFont="1" applyBorder="1"/>
    <xf numFmtId="171" fontId="15" fillId="0" borderId="110" xfId="1" applyNumberFormat="1" applyFont="1" applyFill="1" applyBorder="1" applyAlignment="1">
      <alignment horizontal="center"/>
    </xf>
    <xf numFmtId="0" fontId="23" fillId="0" borderId="114" xfId="0" applyFont="1" applyBorder="1"/>
    <xf numFmtId="9" fontId="15" fillId="0" borderId="110" xfId="0" applyNumberFormat="1" applyFont="1" applyBorder="1" applyAlignment="1">
      <alignment horizontal="center"/>
    </xf>
    <xf numFmtId="10" fontId="15" fillId="0" borderId="110" xfId="0" applyNumberFormat="1" applyFont="1" applyBorder="1" applyAlignment="1">
      <alignment horizontal="center"/>
    </xf>
    <xf numFmtId="14" fontId="23" fillId="9" borderId="124" xfId="0" applyNumberFormat="1" applyFont="1" applyFill="1" applyBorder="1" applyAlignment="1">
      <alignment horizontal="right" vertical="center"/>
    </xf>
    <xf numFmtId="14" fontId="23" fillId="9" borderId="123" xfId="1347" applyNumberFormat="1" applyFont="1" applyFill="1" applyBorder="1"/>
    <xf numFmtId="14" fontId="23" fillId="9" borderId="123" xfId="1347" applyNumberFormat="1" applyFont="1" applyFill="1" applyBorder="1" applyAlignment="1">
      <alignment horizontal="center"/>
    </xf>
    <xf numFmtId="172" fontId="177" fillId="0" borderId="116" xfId="0" applyNumberFormat="1" applyFont="1" applyBorder="1"/>
    <xf numFmtId="172" fontId="177" fillId="0" borderId="116" xfId="0" applyNumberFormat="1" applyFont="1" applyBorder="1" applyAlignment="1">
      <alignment horizontal="center"/>
    </xf>
    <xf numFmtId="0" fontId="177" fillId="9" borderId="79" xfId="0" applyFont="1" applyFill="1" applyBorder="1"/>
    <xf numFmtId="10" fontId="177" fillId="9" borderId="97" xfId="0" applyNumberFormat="1" applyFont="1" applyFill="1" applyBorder="1"/>
    <xf numFmtId="167" fontId="23" fillId="9" borderId="83" xfId="0" applyNumberFormat="1" applyFont="1" applyFill="1" applyBorder="1"/>
    <xf numFmtId="167" fontId="180" fillId="9" borderId="83" xfId="0" applyNumberFormat="1" applyFont="1" applyFill="1" applyBorder="1"/>
    <xf numFmtId="0" fontId="177" fillId="0" borderId="111" xfId="0" applyFont="1" applyBorder="1"/>
    <xf numFmtId="38" fontId="177" fillId="0" borderId="116" xfId="0" applyNumberFormat="1" applyFont="1" applyBorder="1"/>
    <xf numFmtId="5" fontId="188" fillId="0" borderId="116" xfId="0" applyNumberFormat="1" applyFont="1" applyBorder="1"/>
    <xf numFmtId="5" fontId="177" fillId="0" borderId="116" xfId="0" applyNumberFormat="1" applyFont="1" applyBorder="1"/>
    <xf numFmtId="5" fontId="192" fillId="0" borderId="116" xfId="0" applyNumberFormat="1" applyFont="1" applyBorder="1"/>
    <xf numFmtId="0" fontId="188" fillId="0" borderId="116" xfId="0" applyFont="1" applyBorder="1"/>
    <xf numFmtId="38" fontId="188" fillId="0" borderId="116" xfId="0" applyNumberFormat="1" applyFont="1" applyBorder="1"/>
    <xf numFmtId="38" fontId="192" fillId="0" borderId="116" xfId="0" applyNumberFormat="1" applyFont="1" applyBorder="1"/>
    <xf numFmtId="5" fontId="180" fillId="0" borderId="116" xfId="0" applyNumberFormat="1" applyFont="1" applyBorder="1"/>
    <xf numFmtId="5" fontId="15" fillId="0" borderId="116" xfId="0" applyNumberFormat="1" applyFont="1" applyBorder="1"/>
    <xf numFmtId="0" fontId="177" fillId="0" borderId="116" xfId="0" applyFont="1" applyBorder="1"/>
    <xf numFmtId="6" fontId="188" fillId="0" borderId="116" xfId="0" applyNumberFormat="1" applyFont="1" applyBorder="1"/>
    <xf numFmtId="166" fontId="177" fillId="0" borderId="116" xfId="0" applyNumberFormat="1" applyFont="1" applyBorder="1"/>
    <xf numFmtId="5" fontId="188" fillId="0" borderId="116" xfId="0" applyNumberFormat="1" applyFont="1" applyBorder="1" applyAlignment="1">
      <alignment horizontal="center" wrapText="1"/>
    </xf>
    <xf numFmtId="38" fontId="177" fillId="0" borderId="127" xfId="0" applyNumberFormat="1" applyFont="1" applyBorder="1"/>
    <xf numFmtId="5" fontId="188" fillId="0" borderId="127" xfId="0" applyNumberFormat="1" applyFont="1" applyBorder="1"/>
    <xf numFmtId="5" fontId="177" fillId="0" borderId="127" xfId="0" applyNumberFormat="1" applyFont="1" applyBorder="1"/>
    <xf numFmtId="0" fontId="177" fillId="0" borderId="124" xfId="0" applyFont="1" applyBorder="1"/>
    <xf numFmtId="6" fontId="177" fillId="0" borderId="112" xfId="0" applyNumberFormat="1" applyFont="1" applyBorder="1"/>
    <xf numFmtId="0" fontId="177" fillId="0" borderId="117" xfId="0" applyFont="1" applyBorder="1"/>
    <xf numFmtId="0" fontId="177" fillId="0" borderId="115" xfId="0" applyFont="1" applyBorder="1"/>
    <xf numFmtId="6" fontId="177" fillId="0" borderId="114" xfId="0" applyNumberFormat="1" applyFont="1" applyBorder="1"/>
    <xf numFmtId="5" fontId="177" fillId="0" borderId="117" xfId="0" applyNumberFormat="1" applyFont="1" applyBorder="1"/>
    <xf numFmtId="5" fontId="177" fillId="4" borderId="117" xfId="0" applyNumberFormat="1" applyFont="1" applyFill="1" applyBorder="1"/>
    <xf numFmtId="5" fontId="177" fillId="4" borderId="116" xfId="0" applyNumberFormat="1" applyFont="1" applyFill="1" applyBorder="1"/>
    <xf numFmtId="0" fontId="177" fillId="0" borderId="132" xfId="0" applyFont="1" applyBorder="1"/>
    <xf numFmtId="6" fontId="177" fillId="0" borderId="129" xfId="0" applyNumberFormat="1" applyFont="1" applyBorder="1"/>
    <xf numFmtId="0" fontId="181" fillId="4" borderId="115" xfId="0" applyFont="1" applyFill="1" applyBorder="1" applyAlignment="1">
      <alignment horizontal="center"/>
    </xf>
    <xf numFmtId="6" fontId="177" fillId="4" borderId="116" xfId="0" applyNumberFormat="1" applyFont="1" applyFill="1" applyBorder="1"/>
    <xf numFmtId="166" fontId="177" fillId="4" borderId="116" xfId="0" applyNumberFormat="1" applyFont="1" applyFill="1" applyBorder="1"/>
    <xf numFmtId="0" fontId="177" fillId="4" borderId="116" xfId="0" applyFont="1" applyFill="1" applyBorder="1"/>
    <xf numFmtId="37" fontId="181" fillId="4" borderId="116" xfId="0" applyNumberFormat="1" applyFont="1" applyFill="1" applyBorder="1"/>
    <xf numFmtId="37" fontId="181" fillId="0" borderId="117" xfId="0" applyNumberFormat="1" applyFont="1" applyBorder="1"/>
    <xf numFmtId="5" fontId="177" fillId="0" borderId="120" xfId="0" applyNumberFormat="1" applyFont="1" applyBorder="1"/>
    <xf numFmtId="5" fontId="181" fillId="0" borderId="120" xfId="0" applyNumberFormat="1" applyFont="1" applyBorder="1"/>
    <xf numFmtId="37" fontId="181" fillId="0" borderId="116" xfId="0" applyNumberFormat="1" applyFont="1" applyBorder="1"/>
    <xf numFmtId="5" fontId="181" fillId="4" borderId="116" xfId="0" applyNumberFormat="1" applyFont="1" applyFill="1" applyBorder="1"/>
    <xf numFmtId="5" fontId="181" fillId="0" borderId="116" xfId="0" applyNumberFormat="1" applyFont="1" applyBorder="1"/>
    <xf numFmtId="10" fontId="181" fillId="0" borderId="115" xfId="0" applyNumberFormat="1" applyFont="1" applyBorder="1"/>
    <xf numFmtId="0" fontId="181" fillId="4" borderId="116" xfId="0" applyFont="1" applyFill="1" applyBorder="1" applyAlignment="1">
      <alignment horizontal="center" wrapText="1"/>
    </xf>
    <xf numFmtId="0" fontId="181" fillId="4" borderId="116" xfId="0" applyFont="1" applyFill="1" applyBorder="1" applyAlignment="1">
      <alignment horizontal="center" vertical="center" wrapText="1"/>
    </xf>
    <xf numFmtId="0" fontId="181" fillId="0" borderId="116" xfId="0" applyFont="1" applyBorder="1" applyAlignment="1">
      <alignment horizontal="center" wrapText="1"/>
    </xf>
    <xf numFmtId="0" fontId="181" fillId="4" borderId="111" xfId="0" applyFont="1" applyFill="1" applyBorder="1" applyAlignment="1">
      <alignment horizontal="center"/>
    </xf>
    <xf numFmtId="8" fontId="192" fillId="0" borderId="116" xfId="0" applyNumberFormat="1" applyFont="1" applyBorder="1" applyAlignment="1">
      <alignment horizontal="center"/>
    </xf>
    <xf numFmtId="38" fontId="180" fillId="0" borderId="116" xfId="22" applyNumberFormat="1" applyFont="1" applyBorder="1" applyAlignment="1">
      <alignment horizontal="center"/>
    </xf>
    <xf numFmtId="8" fontId="180" fillId="0" borderId="116" xfId="0" applyNumberFormat="1" applyFont="1" applyBorder="1" applyAlignment="1">
      <alignment horizontal="center"/>
    </xf>
    <xf numFmtId="38" fontId="180" fillId="0" borderId="66" xfId="22" applyNumberFormat="1" applyFont="1" applyBorder="1" applyAlignment="1">
      <alignment horizontal="center"/>
    </xf>
    <xf numFmtId="280" fontId="15" fillId="0" borderId="122" xfId="0" applyNumberFormat="1" applyFont="1" applyBorder="1" applyAlignment="1">
      <alignment horizontal="right"/>
    </xf>
    <xf numFmtId="279" fontId="15" fillId="0" borderId="124" xfId="0" applyNumberFormat="1" applyFont="1" applyBorder="1"/>
    <xf numFmtId="267" fontId="180" fillId="0" borderId="116" xfId="0" applyNumberFormat="1" applyFont="1" applyBorder="1" applyAlignment="1">
      <alignment horizontal="center"/>
    </xf>
    <xf numFmtId="272" fontId="180" fillId="0" borderId="116" xfId="0" applyNumberFormat="1" applyFont="1" applyBorder="1" applyAlignment="1">
      <alignment horizontal="center"/>
    </xf>
    <xf numFmtId="261" fontId="180" fillId="0" borderId="116" xfId="0" applyNumberFormat="1" applyFont="1" applyBorder="1" applyAlignment="1">
      <alignment horizontal="center"/>
    </xf>
    <xf numFmtId="5" fontId="180" fillId="0" borderId="66" xfId="22" applyNumberFormat="1" applyFont="1" applyFill="1" applyBorder="1" applyAlignment="1">
      <alignment horizontal="center"/>
    </xf>
    <xf numFmtId="262" fontId="180" fillId="0" borderId="116" xfId="0" applyNumberFormat="1" applyFont="1" applyBorder="1" applyAlignment="1">
      <alignment horizontal="center"/>
    </xf>
    <xf numFmtId="5" fontId="180" fillId="0" borderId="116" xfId="22" applyNumberFormat="1" applyFont="1" applyFill="1" applyBorder="1" applyAlignment="1">
      <alignment horizontal="center"/>
    </xf>
    <xf numFmtId="263" fontId="180" fillId="0" borderId="116" xfId="0" applyNumberFormat="1" applyFont="1" applyBorder="1" applyAlignment="1">
      <alignment horizontal="center"/>
    </xf>
    <xf numFmtId="271" fontId="180" fillId="0" borderId="116" xfId="0" applyNumberFormat="1" applyFont="1" applyBorder="1" applyAlignment="1">
      <alignment horizontal="center"/>
    </xf>
    <xf numFmtId="268" fontId="180" fillId="0" borderId="116" xfId="0" applyNumberFormat="1" applyFont="1" applyBorder="1" applyAlignment="1">
      <alignment horizontal="center"/>
    </xf>
    <xf numFmtId="270" fontId="180" fillId="0" borderId="116" xfId="0" applyNumberFormat="1" applyFont="1" applyBorder="1" applyAlignment="1">
      <alignment horizontal="center"/>
    </xf>
    <xf numFmtId="265" fontId="180" fillId="0" borderId="116" xfId="0" applyNumberFormat="1" applyFont="1" applyBorder="1" applyAlignment="1">
      <alignment horizontal="center"/>
    </xf>
    <xf numFmtId="275" fontId="185" fillId="0" borderId="116" xfId="0" applyNumberFormat="1" applyFont="1" applyBorder="1" applyAlignment="1">
      <alignment horizontal="center"/>
    </xf>
    <xf numFmtId="5" fontId="180" fillId="0" borderId="127" xfId="22" applyNumberFormat="1" applyFont="1" applyFill="1" applyBorder="1" applyAlignment="1">
      <alignment horizontal="center"/>
    </xf>
    <xf numFmtId="273" fontId="23" fillId="3" borderId="122" xfId="0" applyNumberFormat="1" applyFont="1" applyFill="1" applyBorder="1"/>
    <xf numFmtId="3" fontId="181" fillId="35" borderId="81" xfId="0" applyNumberFormat="1" applyFont="1" applyFill="1" applyBorder="1"/>
    <xf numFmtId="180" fontId="180" fillId="0" borderId="63" xfId="0" applyNumberFormat="1" applyFont="1" applyBorder="1" applyAlignment="1">
      <alignment horizontal="right"/>
    </xf>
    <xf numFmtId="5" fontId="23" fillId="0" borderId="66" xfId="0" applyNumberFormat="1" applyFont="1" applyBorder="1"/>
    <xf numFmtId="3" fontId="178" fillId="6" borderId="81" xfId="0" applyNumberFormat="1" applyFont="1" applyFill="1" applyBorder="1"/>
    <xf numFmtId="173" fontId="180" fillId="0" borderId="130" xfId="0" applyNumberFormat="1" applyFont="1" applyBorder="1" applyAlignment="1" applyProtection="1">
      <alignment horizontal="left"/>
      <protection locked="0"/>
    </xf>
    <xf numFmtId="5" fontId="15" fillId="0" borderId="131" xfId="22" applyNumberFormat="1" applyFont="1" applyBorder="1"/>
    <xf numFmtId="172" fontId="181" fillId="0" borderId="116" xfId="0" applyNumberFormat="1" applyFont="1" applyBorder="1" applyAlignment="1">
      <alignment horizontal="center"/>
    </xf>
    <xf numFmtId="0" fontId="192" fillId="0" borderId="116" xfId="0" applyFont="1" applyBorder="1"/>
    <xf numFmtId="0" fontId="192" fillId="0" borderId="117" xfId="0" applyFont="1" applyBorder="1"/>
    <xf numFmtId="0" fontId="192" fillId="0" borderId="113" xfId="0" applyFont="1" applyBorder="1"/>
    <xf numFmtId="38" fontId="192" fillId="0" borderId="117" xfId="0" applyNumberFormat="1" applyFont="1" applyBorder="1"/>
    <xf numFmtId="5" fontId="192" fillId="0" borderId="117" xfId="0" applyNumberFormat="1" applyFont="1" applyBorder="1"/>
    <xf numFmtId="5" fontId="192" fillId="0" borderId="113" xfId="0" applyNumberFormat="1" applyFont="1" applyBorder="1"/>
    <xf numFmtId="0" fontId="188" fillId="0" borderId="117" xfId="0" applyFont="1" applyBorder="1"/>
    <xf numFmtId="0" fontId="188" fillId="0" borderId="113" xfId="0" applyFont="1" applyBorder="1"/>
    <xf numFmtId="5" fontId="188" fillId="0" borderId="117" xfId="0" applyNumberFormat="1" applyFont="1" applyBorder="1"/>
    <xf numFmtId="5" fontId="188" fillId="0" borderId="113" xfId="0" applyNumberFormat="1" applyFont="1" applyBorder="1"/>
    <xf numFmtId="0" fontId="199" fillId="0" borderId="116" xfId="0" applyFont="1" applyBorder="1"/>
    <xf numFmtId="166" fontId="188" fillId="0" borderId="116" xfId="0" applyNumberFormat="1" applyFont="1" applyBorder="1"/>
    <xf numFmtId="38" fontId="188" fillId="0" borderId="117" xfId="0" applyNumberFormat="1" applyFont="1" applyBorder="1"/>
    <xf numFmtId="0" fontId="177" fillId="0" borderId="133" xfId="0" applyFont="1" applyBorder="1"/>
    <xf numFmtId="0" fontId="188" fillId="0" borderId="134" xfId="0" applyFont="1" applyBorder="1"/>
    <xf numFmtId="0" fontId="188" fillId="0" borderId="127" xfId="0" applyFont="1" applyBorder="1"/>
    <xf numFmtId="6" fontId="181" fillId="4" borderId="116" xfId="0" applyNumberFormat="1" applyFont="1" applyFill="1" applyBorder="1"/>
    <xf numFmtId="6" fontId="177" fillId="0" borderId="123" xfId="0" applyNumberFormat="1" applyFont="1" applyBorder="1"/>
    <xf numFmtId="166" fontId="181" fillId="4" borderId="116" xfId="0" applyNumberFormat="1" applyFont="1" applyFill="1" applyBorder="1"/>
    <xf numFmtId="0" fontId="181" fillId="4" borderId="116" xfId="0" applyFont="1" applyFill="1" applyBorder="1" applyAlignment="1">
      <alignment wrapText="1"/>
    </xf>
    <xf numFmtId="0" fontId="181" fillId="4" borderId="116" xfId="0" applyFont="1" applyFill="1" applyBorder="1" applyAlignment="1">
      <alignment horizontal="center"/>
    </xf>
    <xf numFmtId="166" fontId="177" fillId="0" borderId="115" xfId="0" applyNumberFormat="1" applyFont="1" applyBorder="1"/>
    <xf numFmtId="166" fontId="181" fillId="0" borderId="116" xfId="0" applyNumberFormat="1" applyFont="1" applyBorder="1"/>
    <xf numFmtId="8" fontId="23" fillId="0" borderId="116" xfId="0" applyNumberFormat="1" applyFont="1" applyBorder="1" applyAlignment="1">
      <alignment horizontal="center"/>
    </xf>
    <xf numFmtId="8" fontId="23" fillId="0" borderId="116" xfId="0" applyNumberFormat="1" applyFont="1" applyBorder="1"/>
    <xf numFmtId="8" fontId="23" fillId="0" borderId="127" xfId="0" applyNumberFormat="1" applyFont="1" applyBorder="1"/>
    <xf numFmtId="286" fontId="15" fillId="0" borderId="122" xfId="0" applyNumberFormat="1" applyFont="1" applyBorder="1" applyAlignment="1">
      <alignment horizontal="right"/>
    </xf>
    <xf numFmtId="7" fontId="15" fillId="11" borderId="66" xfId="22" applyNumberFormat="1" applyFont="1" applyFill="1" applyBorder="1" applyAlignment="1">
      <alignment horizontal="center"/>
    </xf>
    <xf numFmtId="173" fontId="15" fillId="0" borderId="130" xfId="0" applyNumberFormat="1" applyFont="1" applyBorder="1" applyAlignment="1" applyProtection="1">
      <alignment horizontal="left"/>
      <protection locked="0"/>
    </xf>
    <xf numFmtId="175" fontId="181" fillId="35" borderId="116" xfId="0" applyNumberFormat="1" applyFont="1" applyFill="1" applyBorder="1"/>
    <xf numFmtId="0" fontId="181" fillId="0" borderId="116" xfId="0" applyFont="1" applyBorder="1" applyAlignment="1">
      <alignment horizontal="left"/>
    </xf>
    <xf numFmtId="0" fontId="181" fillId="0" borderId="116" xfId="0" applyFont="1" applyBorder="1" applyAlignment="1">
      <alignment horizontal="right"/>
    </xf>
    <xf numFmtId="180" fontId="180" fillId="0" borderId="116" xfId="0" applyNumberFormat="1" applyFont="1" applyBorder="1" applyAlignment="1">
      <alignment horizontal="right"/>
    </xf>
    <xf numFmtId="181" fontId="15" fillId="0" borderId="116" xfId="0" applyNumberFormat="1" applyFont="1" applyBorder="1" applyAlignment="1">
      <alignment horizontal="right"/>
    </xf>
    <xf numFmtId="0" fontId="23" fillId="0" borderId="116" xfId="0" applyFont="1" applyBorder="1" applyAlignment="1">
      <alignment horizontal="right"/>
    </xf>
    <xf numFmtId="14" fontId="23" fillId="9" borderId="125" xfId="1347" applyNumberFormat="1" applyFont="1" applyFill="1" applyBorder="1" applyAlignment="1">
      <alignment horizontal="center"/>
    </xf>
    <xf numFmtId="5" fontId="177" fillId="0" borderId="111" xfId="0" applyNumberFormat="1" applyFont="1" applyBorder="1"/>
    <xf numFmtId="6" fontId="177" fillId="0" borderId="125" xfId="0" applyNumberFormat="1" applyFont="1" applyBorder="1"/>
    <xf numFmtId="0" fontId="177" fillId="4" borderId="117" xfId="0" applyFont="1" applyFill="1" applyBorder="1"/>
    <xf numFmtId="6" fontId="177" fillId="0" borderId="120" xfId="0" applyNumberFormat="1" applyFont="1" applyBorder="1"/>
    <xf numFmtId="6" fontId="177" fillId="4" borderId="120" xfId="0" applyNumberFormat="1" applyFont="1" applyFill="1" applyBorder="1"/>
    <xf numFmtId="5" fontId="177" fillId="0" borderId="113" xfId="0" applyNumberFormat="1" applyFont="1" applyBorder="1"/>
    <xf numFmtId="10" fontId="177" fillId="0" borderId="116" xfId="0" applyNumberFormat="1" applyFont="1" applyBorder="1"/>
    <xf numFmtId="5" fontId="181" fillId="0" borderId="117" xfId="0" applyNumberFormat="1" applyFont="1" applyBorder="1"/>
    <xf numFmtId="10" fontId="181" fillId="0" borderId="116" xfId="0" applyNumberFormat="1" applyFont="1" applyBorder="1"/>
    <xf numFmtId="3" fontId="180" fillId="0" borderId="118" xfId="0" applyNumberFormat="1" applyFont="1" applyBorder="1"/>
    <xf numFmtId="0" fontId="181" fillId="0" borderId="132" xfId="0" applyFont="1" applyBorder="1" applyAlignment="1">
      <alignment horizontal="left"/>
    </xf>
    <xf numFmtId="5" fontId="15" fillId="0" borderId="127" xfId="22" applyNumberFormat="1" applyFont="1" applyBorder="1"/>
    <xf numFmtId="37" fontId="15" fillId="0" borderId="127" xfId="22" applyNumberFormat="1" applyFont="1" applyBorder="1"/>
    <xf numFmtId="172" fontId="177" fillId="0" borderId="120" xfId="0" applyNumberFormat="1" applyFont="1" applyBorder="1"/>
    <xf numFmtId="172" fontId="177" fillId="0" borderId="117" xfId="0" applyNumberFormat="1" applyFont="1" applyBorder="1"/>
    <xf numFmtId="0" fontId="180" fillId="0" borderId="116" xfId="0" applyFont="1" applyBorder="1"/>
    <xf numFmtId="0" fontId="180" fillId="0" borderId="117" xfId="0" applyFont="1" applyBorder="1"/>
    <xf numFmtId="7" fontId="192" fillId="0" borderId="116" xfId="0" applyNumberFormat="1" applyFont="1" applyBorder="1"/>
    <xf numFmtId="5" fontId="180" fillId="0" borderId="117" xfId="0" applyNumberFormat="1" applyFont="1" applyBorder="1"/>
    <xf numFmtId="0" fontId="177" fillId="0" borderId="127" xfId="0" applyFont="1" applyBorder="1"/>
    <xf numFmtId="0" fontId="188" fillId="0" borderId="120" xfId="0" applyFont="1" applyBorder="1"/>
    <xf numFmtId="0" fontId="177" fillId="0" borderId="134" xfId="0" applyFont="1" applyBorder="1"/>
    <xf numFmtId="0" fontId="177" fillId="4" borderId="120" xfId="0" applyFont="1" applyFill="1" applyBorder="1"/>
    <xf numFmtId="5" fontId="177" fillId="0" borderId="132" xfId="0" applyNumberFormat="1" applyFont="1" applyBorder="1"/>
    <xf numFmtId="5" fontId="177" fillId="0" borderId="123" xfId="0" applyNumberFormat="1" applyFont="1" applyBorder="1"/>
    <xf numFmtId="0" fontId="177" fillId="4" borderId="115" xfId="0" applyFont="1" applyFill="1" applyBorder="1"/>
    <xf numFmtId="6" fontId="177" fillId="0" borderId="115" xfId="0" applyNumberFormat="1" applyFont="1" applyBorder="1"/>
    <xf numFmtId="167" fontId="179" fillId="0" borderId="116" xfId="1" applyNumberFormat="1" applyFont="1" applyBorder="1"/>
    <xf numFmtId="175" fontId="178" fillId="8" borderId="97" xfId="0" applyNumberFormat="1" applyFont="1" applyFill="1" applyBorder="1" applyAlignment="1">
      <alignment horizontal="center"/>
    </xf>
    <xf numFmtId="6" fontId="15" fillId="0" borderId="116" xfId="22" applyNumberFormat="1" applyFont="1" applyBorder="1" applyAlignment="1">
      <alignment horizontal="center"/>
    </xf>
    <xf numFmtId="292" fontId="180" fillId="0" borderId="116" xfId="0" applyNumberFormat="1" applyFont="1" applyBorder="1" applyAlignment="1">
      <alignment horizontal="center"/>
    </xf>
    <xf numFmtId="293" fontId="180" fillId="0" borderId="116" xfId="0" applyNumberFormat="1" applyFont="1" applyBorder="1" applyAlignment="1">
      <alignment horizontal="center"/>
    </xf>
    <xf numFmtId="175" fontId="181" fillId="35" borderId="81" xfId="0" applyNumberFormat="1" applyFont="1" applyFill="1" applyBorder="1"/>
    <xf numFmtId="175" fontId="178" fillId="6" borderId="78" xfId="0" applyNumberFormat="1" applyFont="1" applyFill="1" applyBorder="1"/>
    <xf numFmtId="5" fontId="177" fillId="0" borderId="116" xfId="0" applyNumberFormat="1" applyFont="1" applyBorder="1" applyAlignment="1">
      <alignment horizontal="center"/>
    </xf>
    <xf numFmtId="5" fontId="15" fillId="0" borderId="127" xfId="0" applyNumberFormat="1" applyFont="1" applyBorder="1"/>
    <xf numFmtId="5" fontId="181" fillId="4" borderId="117" xfId="0" applyNumberFormat="1" applyFont="1" applyFill="1" applyBorder="1"/>
    <xf numFmtId="3" fontId="180" fillId="0" borderId="116" xfId="14" applyNumberFormat="1" applyFont="1" applyBorder="1" applyAlignment="1">
      <alignment horizontal="center"/>
    </xf>
    <xf numFmtId="8" fontId="180" fillId="0" borderId="116" xfId="0" applyNumberFormat="1" applyFont="1" applyBorder="1"/>
    <xf numFmtId="3" fontId="180" fillId="0" borderId="127" xfId="14" applyNumberFormat="1" applyFont="1" applyBorder="1" applyAlignment="1">
      <alignment horizontal="center"/>
    </xf>
    <xf numFmtId="8" fontId="180" fillId="0" borderId="127" xfId="0" applyNumberFormat="1" applyFont="1" applyBorder="1"/>
    <xf numFmtId="6" fontId="188" fillId="0" borderId="117" xfId="0" applyNumberFormat="1" applyFont="1" applyBorder="1"/>
    <xf numFmtId="166" fontId="177" fillId="4" borderId="120" xfId="0" applyNumberFormat="1" applyFont="1" applyFill="1" applyBorder="1"/>
    <xf numFmtId="6" fontId="15" fillId="0" borderId="116" xfId="0" applyNumberFormat="1" applyFont="1" applyBorder="1" applyAlignment="1">
      <alignment horizontal="center"/>
    </xf>
    <xf numFmtId="299" fontId="15" fillId="0" borderId="122" xfId="0" applyNumberFormat="1" applyFont="1" applyBorder="1" applyAlignment="1">
      <alignment horizontal="left"/>
    </xf>
    <xf numFmtId="300" fontId="15" fillId="0" borderId="122" xfId="0" applyNumberFormat="1" applyFont="1" applyBorder="1" applyAlignment="1">
      <alignment horizontal="left"/>
    </xf>
    <xf numFmtId="175" fontId="178" fillId="32" borderId="81" xfId="0" applyNumberFormat="1" applyFont="1" applyFill="1" applyBorder="1"/>
    <xf numFmtId="301" fontId="15" fillId="0" borderId="119" xfId="0" applyNumberFormat="1" applyFont="1" applyBorder="1" applyAlignment="1">
      <alignment horizontal="left"/>
    </xf>
    <xf numFmtId="303" fontId="15" fillId="0" borderId="116" xfId="22" applyNumberFormat="1" applyFont="1" applyBorder="1" applyAlignment="1">
      <alignment horizontal="center"/>
    </xf>
    <xf numFmtId="167" fontId="180" fillId="9" borderId="103" xfId="0" applyNumberFormat="1" applyFont="1" applyFill="1" applyBorder="1"/>
    <xf numFmtId="172" fontId="181" fillId="0" borderId="116" xfId="0" applyNumberFormat="1" applyFont="1" applyBorder="1" applyAlignment="1">
      <alignment horizontal="right"/>
    </xf>
    <xf numFmtId="0" fontId="23" fillId="37" borderId="80" xfId="1347" applyFont="1" applyFill="1" applyBorder="1" applyAlignment="1">
      <alignment horizontal="center" vertical="center"/>
    </xf>
    <xf numFmtId="0" fontId="23" fillId="37" borderId="81" xfId="1347" applyFont="1" applyFill="1" applyBorder="1" applyAlignment="1">
      <alignment horizontal="center" vertical="center"/>
    </xf>
    <xf numFmtId="0" fontId="177" fillId="5" borderId="57" xfId="0" applyFont="1" applyFill="1" applyBorder="1" applyAlignment="1">
      <alignment horizontal="left" wrapText="1"/>
    </xf>
    <xf numFmtId="0" fontId="177" fillId="5" borderId="0" xfId="0" applyFont="1" applyFill="1" applyAlignment="1">
      <alignment horizontal="left" wrapText="1"/>
    </xf>
    <xf numFmtId="37" fontId="192" fillId="37" borderId="8" xfId="1347" applyNumberFormat="1" applyFont="1" applyFill="1" applyBorder="1" applyAlignment="1">
      <alignment horizontal="center" vertical="center"/>
    </xf>
    <xf numFmtId="165" fontId="192" fillId="37" borderId="2" xfId="1358" applyNumberFormat="1" applyFont="1" applyFill="1" applyBorder="1" applyAlignment="1">
      <alignment horizontal="center" vertical="center"/>
    </xf>
    <xf numFmtId="0" fontId="23" fillId="37" borderId="79" xfId="1347" applyFont="1" applyFill="1" applyBorder="1" applyAlignment="1">
      <alignment vertical="center"/>
    </xf>
    <xf numFmtId="0" fontId="23" fillId="37" borderId="80" xfId="1347" applyFont="1" applyFill="1" applyBorder="1" applyAlignment="1">
      <alignment vertical="center"/>
    </xf>
    <xf numFmtId="0" fontId="23" fillId="37" borderId="93" xfId="1347" applyFont="1" applyFill="1" applyBorder="1" applyAlignment="1">
      <alignment vertical="center"/>
    </xf>
    <xf numFmtId="0" fontId="23" fillId="37" borderId="98" xfId="1347" applyFont="1" applyFill="1" applyBorder="1" applyAlignment="1">
      <alignment vertical="center"/>
    </xf>
    <xf numFmtId="0" fontId="15" fillId="37" borderId="98" xfId="1347" applyFont="1" applyFill="1" applyBorder="1" applyAlignment="1">
      <alignment horizontal="left" vertical="center"/>
    </xf>
    <xf numFmtId="14" fontId="177" fillId="37" borderId="93" xfId="1347" applyNumberFormat="1" applyFont="1" applyFill="1" applyBorder="1" applyAlignment="1">
      <alignment horizontal="left"/>
    </xf>
    <xf numFmtId="0" fontId="192" fillId="37" borderId="3" xfId="1347" applyFont="1" applyFill="1" applyBorder="1" applyAlignment="1">
      <alignment horizontal="center" vertical="center"/>
    </xf>
    <xf numFmtId="6" fontId="192" fillId="37" borderId="121" xfId="1347" applyNumberFormat="1" applyFont="1" applyFill="1" applyBorder="1" applyAlignment="1">
      <alignment horizontal="center"/>
    </xf>
    <xf numFmtId="0" fontId="192" fillId="37" borderId="3" xfId="1347" applyFont="1" applyFill="1" applyBorder="1" applyAlignment="1">
      <alignment horizontal="center"/>
    </xf>
    <xf numFmtId="3" fontId="192" fillId="37" borderId="3" xfId="1347" applyNumberFormat="1" applyFont="1" applyFill="1" applyBorder="1" applyAlignment="1">
      <alignment horizontal="center"/>
    </xf>
    <xf numFmtId="6" fontId="192" fillId="37" borderId="121" xfId="1347" applyNumberFormat="1" applyFont="1" applyFill="1" applyBorder="1" applyAlignment="1">
      <alignment horizontal="center" vertical="center"/>
    </xf>
    <xf numFmtId="37" fontId="192" fillId="37" borderId="10" xfId="1347" applyNumberFormat="1" applyFont="1" applyFill="1" applyBorder="1" applyAlignment="1">
      <alignment horizontal="center" vertical="center"/>
    </xf>
    <xf numFmtId="6" fontId="192" fillId="37" borderId="125" xfId="1347" applyNumberFormat="1" applyFont="1" applyFill="1" applyBorder="1" applyAlignment="1">
      <alignment horizontal="center"/>
    </xf>
    <xf numFmtId="3" fontId="15" fillId="0" borderId="138" xfId="0" applyNumberFormat="1" applyFont="1" applyBorder="1" applyAlignment="1">
      <alignment horizontal="center"/>
    </xf>
    <xf numFmtId="0" fontId="23" fillId="3" borderId="138" xfId="0" applyFont="1" applyFill="1" applyBorder="1"/>
    <xf numFmtId="0" fontId="177" fillId="3" borderId="138" xfId="0" applyFont="1" applyFill="1" applyBorder="1"/>
    <xf numFmtId="167" fontId="23" fillId="9" borderId="138" xfId="0" applyNumberFormat="1" applyFont="1" applyFill="1" applyBorder="1"/>
    <xf numFmtId="167" fontId="180" fillId="9" borderId="138" xfId="0" applyNumberFormat="1" applyFont="1" applyFill="1" applyBorder="1"/>
    <xf numFmtId="9" fontId="23" fillId="0" borderId="138" xfId="0" applyNumberFormat="1" applyFont="1" applyBorder="1" applyAlignment="1">
      <alignment horizontal="center"/>
    </xf>
    <xf numFmtId="0" fontId="23" fillId="37" borderId="98" xfId="1347" applyFont="1" applyFill="1" applyBorder="1" applyAlignment="1">
      <alignment horizontal="center" vertical="center"/>
    </xf>
    <xf numFmtId="166" fontId="192" fillId="37" borderId="98" xfId="1347" applyNumberFormat="1" applyFont="1" applyFill="1" applyBorder="1" applyAlignment="1">
      <alignment horizontal="center" vertical="center"/>
    </xf>
    <xf numFmtId="166" fontId="192" fillId="37" borderId="93" xfId="1347" applyNumberFormat="1" applyFont="1" applyFill="1" applyBorder="1" applyAlignment="1">
      <alignment horizontal="center" vertical="center"/>
    </xf>
    <xf numFmtId="14" fontId="177" fillId="37" borderId="117" xfId="1347" applyNumberFormat="1" applyFont="1" applyFill="1" applyBorder="1" applyAlignment="1">
      <alignment horizontal="left" wrapText="1"/>
    </xf>
    <xf numFmtId="14" fontId="15" fillId="37" borderId="117" xfId="1347" applyNumberFormat="1" applyFont="1" applyFill="1" applyBorder="1" applyAlignment="1">
      <alignment horizontal="left" wrapText="1"/>
    </xf>
    <xf numFmtId="168" fontId="2" fillId="37" borderId="0" xfId="1360" applyNumberFormat="1" applyFont="1" applyFill="1" applyBorder="1"/>
    <xf numFmtId="168" fontId="2" fillId="37" borderId="6" xfId="1360" applyNumberFormat="1" applyFont="1" applyFill="1" applyBorder="1"/>
    <xf numFmtId="168" fontId="2" fillId="37" borderId="93" xfId="1360" applyNumberFormat="1" applyFont="1" applyFill="1" applyBorder="1"/>
    <xf numFmtId="168" fontId="2" fillId="37" borderId="78" xfId="1360" applyNumberFormat="1" applyFont="1" applyFill="1" applyBorder="1"/>
    <xf numFmtId="168" fontId="2" fillId="37" borderId="136" xfId="1360" applyNumberFormat="1" applyFont="1" applyFill="1" applyBorder="1"/>
    <xf numFmtId="168" fontId="2" fillId="37" borderId="61" xfId="1360" applyNumberFormat="1" applyFont="1" applyFill="1" applyBorder="1"/>
    <xf numFmtId="166" fontId="2" fillId="37" borderId="15" xfId="1358" applyNumberFormat="1" applyFont="1" applyFill="1" applyBorder="1" applyAlignment="1">
      <alignment horizontal="left"/>
    </xf>
    <xf numFmtId="166" fontId="2" fillId="37" borderId="77" xfId="1358" applyNumberFormat="1" applyFont="1" applyFill="1" applyBorder="1" applyAlignment="1">
      <alignment horizontal="left"/>
    </xf>
    <xf numFmtId="0" fontId="2" fillId="0" borderId="0" xfId="1347"/>
    <xf numFmtId="0" fontId="2" fillId="37" borderId="15" xfId="1347" applyFill="1" applyBorder="1"/>
    <xf numFmtId="0" fontId="2" fillId="37" borderId="10" xfId="1347" applyFill="1" applyBorder="1" applyAlignment="1">
      <alignment horizontal="center"/>
    </xf>
    <xf numFmtId="0" fontId="174" fillId="37" borderId="0" xfId="1347" applyFont="1" applyFill="1"/>
    <xf numFmtId="0" fontId="2" fillId="37" borderId="77" xfId="1347" applyFill="1" applyBorder="1"/>
    <xf numFmtId="0" fontId="172" fillId="37" borderId="106" xfId="1347" applyFont="1" applyFill="1" applyBorder="1" applyAlignment="1">
      <alignment wrapText="1"/>
    </xf>
    <xf numFmtId="0" fontId="173" fillId="37" borderId="136" xfId="1347" applyFont="1" applyFill="1" applyBorder="1" applyAlignment="1">
      <alignment wrapText="1"/>
    </xf>
    <xf numFmtId="0" fontId="173" fillId="37" borderId="61" xfId="1347" applyFont="1" applyFill="1" applyBorder="1" applyAlignment="1">
      <alignment wrapText="1"/>
    </xf>
    <xf numFmtId="0" fontId="173" fillId="37" borderId="106" xfId="1347" applyFont="1" applyFill="1" applyBorder="1" applyAlignment="1">
      <alignment horizontal="center"/>
    </xf>
    <xf numFmtId="6" fontId="2" fillId="37" borderId="136" xfId="1347" applyNumberFormat="1" applyFill="1" applyBorder="1"/>
    <xf numFmtId="0" fontId="2" fillId="37" borderId="136" xfId="1347" applyFill="1" applyBorder="1"/>
    <xf numFmtId="6" fontId="2" fillId="37" borderId="106" xfId="1347" applyNumberFormat="1" applyFill="1" applyBorder="1"/>
    <xf numFmtId="6" fontId="200" fillId="37" borderId="106" xfId="1347" applyNumberFormat="1" applyFont="1" applyFill="1" applyBorder="1"/>
    <xf numFmtId="6" fontId="2" fillId="37" borderId="61" xfId="1347" applyNumberFormat="1" applyFill="1" applyBorder="1"/>
    <xf numFmtId="0" fontId="2" fillId="37" borderId="106" xfId="1347" applyFill="1" applyBorder="1" applyAlignment="1">
      <alignment horizontal="center"/>
    </xf>
    <xf numFmtId="168" fontId="174" fillId="37" borderId="136" xfId="1360" applyNumberFormat="1" applyFont="1" applyFill="1" applyBorder="1"/>
    <xf numFmtId="168" fontId="174" fillId="37" borderId="6" xfId="1360" applyNumberFormat="1" applyFont="1" applyFill="1" applyBorder="1"/>
    <xf numFmtId="168" fontId="2" fillId="37" borderId="65" xfId="1360" applyNumberFormat="1" applyFont="1" applyFill="1" applyBorder="1"/>
    <xf numFmtId="168" fontId="174" fillId="37" borderId="106" xfId="1360" applyNumberFormat="1" applyFont="1" applyFill="1" applyBorder="1"/>
    <xf numFmtId="168" fontId="174" fillId="37" borderId="10" xfId="1360" applyNumberFormat="1" applyFont="1" applyFill="1" applyBorder="1"/>
    <xf numFmtId="168" fontId="200" fillId="37" borderId="65" xfId="1360" applyNumberFormat="1" applyFont="1" applyFill="1" applyBorder="1"/>
    <xf numFmtId="168" fontId="201" fillId="37" borderId="106" xfId="1360" applyNumberFormat="1" applyFont="1" applyFill="1" applyBorder="1"/>
    <xf numFmtId="168" fontId="201" fillId="37" borderId="10" xfId="1360" applyNumberFormat="1" applyFont="1" applyFill="1" applyBorder="1"/>
    <xf numFmtId="168" fontId="174" fillId="37" borderId="61" xfId="1360" applyNumberFormat="1" applyFont="1" applyFill="1" applyBorder="1"/>
    <xf numFmtId="168" fontId="174" fillId="37" borderId="78" xfId="1360" applyNumberFormat="1" applyFont="1" applyFill="1" applyBorder="1"/>
    <xf numFmtId="0" fontId="200" fillId="37" borderId="61" xfId="1347" applyFont="1" applyFill="1" applyBorder="1"/>
    <xf numFmtId="0" fontId="200" fillId="37" borderId="55" xfId="1347" applyFont="1" applyFill="1" applyBorder="1" applyAlignment="1">
      <alignment horizontal="center" wrapText="1"/>
    </xf>
    <xf numFmtId="0" fontId="200" fillId="37" borderId="93" xfId="1347" applyFont="1" applyFill="1" applyBorder="1" applyAlignment="1">
      <alignment horizontal="center" wrapText="1"/>
    </xf>
    <xf numFmtId="0" fontId="200" fillId="37" borderId="78" xfId="1347" applyFont="1" applyFill="1" applyBorder="1" applyAlignment="1">
      <alignment horizontal="center" wrapText="1"/>
    </xf>
    <xf numFmtId="166" fontId="23" fillId="37" borderId="0" xfId="1347" applyNumberFormat="1" applyFont="1" applyFill="1" applyAlignment="1">
      <alignment horizontal="center" vertical="center"/>
    </xf>
    <xf numFmtId="0" fontId="181" fillId="0" borderId="3" xfId="0" applyFont="1" applyBorder="1" applyAlignment="1">
      <alignment horizontal="center"/>
    </xf>
    <xf numFmtId="0" fontId="181" fillId="37" borderId="97" xfId="1347" applyFont="1" applyFill="1" applyBorder="1" applyAlignment="1">
      <alignment horizontal="left" vertical="center"/>
    </xf>
    <xf numFmtId="0" fontId="177" fillId="37" borderId="99" xfId="1347" applyFont="1" applyFill="1" applyBorder="1" applyAlignment="1">
      <alignment vertical="center"/>
    </xf>
    <xf numFmtId="6" fontId="23" fillId="35" borderId="93" xfId="0" applyNumberFormat="1" applyFont="1" applyFill="1" applyBorder="1" applyAlignment="1">
      <alignment horizontal="center"/>
    </xf>
    <xf numFmtId="6" fontId="23" fillId="35" borderId="78" xfId="0" applyNumberFormat="1" applyFont="1" applyFill="1" applyBorder="1" applyAlignment="1">
      <alignment horizontal="center"/>
    </xf>
    <xf numFmtId="168" fontId="177" fillId="0" borderId="0" xfId="1360" applyNumberFormat="1" applyFont="1"/>
    <xf numFmtId="0" fontId="23" fillId="0" borderId="63" xfId="0" applyFont="1" applyBorder="1" applyAlignment="1">
      <alignment horizontal="right" wrapText="1"/>
    </xf>
    <xf numFmtId="0" fontId="177" fillId="0" borderId="66" xfId="0" applyFont="1" applyBorder="1" applyAlignment="1">
      <alignment horizontal="center" wrapText="1"/>
    </xf>
    <xf numFmtId="0" fontId="177" fillId="0" borderId="3" xfId="0" applyFont="1" applyBorder="1" applyAlignment="1">
      <alignment horizontal="center" wrapText="1"/>
    </xf>
    <xf numFmtId="0" fontId="23" fillId="0" borderId="122" xfId="0" applyFont="1" applyBorder="1" applyAlignment="1">
      <alignment horizontal="right" wrapText="1"/>
    </xf>
    <xf numFmtId="6" fontId="177" fillId="0" borderId="116" xfId="0" applyNumberFormat="1" applyFont="1" applyBorder="1" applyAlignment="1">
      <alignment wrapText="1"/>
    </xf>
    <xf numFmtId="6" fontId="177" fillId="0" borderId="118" xfId="0" applyNumberFormat="1" applyFont="1" applyBorder="1" applyAlignment="1">
      <alignment wrapText="1"/>
    </xf>
    <xf numFmtId="0" fontId="23" fillId="0" borderId="122" xfId="0" applyFont="1" applyBorder="1" applyAlignment="1">
      <alignment wrapText="1"/>
    </xf>
    <xf numFmtId="0" fontId="15" fillId="0" borderId="126" xfId="0" applyFont="1" applyBorder="1" applyAlignment="1">
      <alignment wrapText="1"/>
    </xf>
    <xf numFmtId="6" fontId="177" fillId="0" borderId="127" xfId="0" applyNumberFormat="1" applyFont="1" applyBorder="1" applyAlignment="1">
      <alignment wrapText="1"/>
    </xf>
    <xf numFmtId="6" fontId="177" fillId="0" borderId="128" xfId="0" applyNumberFormat="1" applyFont="1" applyBorder="1" applyAlignment="1">
      <alignment wrapText="1"/>
    </xf>
    <xf numFmtId="0" fontId="177" fillId="0" borderId="63" xfId="0" applyFont="1" applyBorder="1" applyAlignment="1">
      <alignment wrapText="1"/>
    </xf>
    <xf numFmtId="6" fontId="177" fillId="0" borderId="66" xfId="0" applyNumberFormat="1" applyFont="1" applyBorder="1" applyAlignment="1">
      <alignment wrapText="1"/>
    </xf>
    <xf numFmtId="6" fontId="177" fillId="0" borderId="3" xfId="0" applyNumberFormat="1" applyFont="1" applyBorder="1" applyAlignment="1">
      <alignment wrapText="1"/>
    </xf>
    <xf numFmtId="0" fontId="23" fillId="35" borderId="122" xfId="0" applyFont="1" applyFill="1" applyBorder="1" applyAlignment="1">
      <alignment wrapText="1"/>
    </xf>
    <xf numFmtId="6" fontId="23" fillId="35" borderId="116" xfId="0" applyNumberFormat="1" applyFont="1" applyFill="1" applyBorder="1" applyAlignment="1">
      <alignment wrapText="1"/>
    </xf>
    <xf numFmtId="6" fontId="23" fillId="35" borderId="118" xfId="0" applyNumberFormat="1" applyFont="1" applyFill="1" applyBorder="1" applyAlignment="1">
      <alignment wrapText="1"/>
    </xf>
    <xf numFmtId="10" fontId="177" fillId="0" borderId="116" xfId="7" applyNumberFormat="1" applyFont="1" applyBorder="1" applyAlignment="1">
      <alignment wrapText="1"/>
    </xf>
    <xf numFmtId="10" fontId="177" fillId="0" borderId="118" xfId="7" applyNumberFormat="1" applyFont="1" applyBorder="1" applyAlignment="1">
      <alignment wrapText="1"/>
    </xf>
    <xf numFmtId="0" fontId="23" fillId="35" borderId="124" xfId="0" applyFont="1" applyFill="1" applyBorder="1" applyAlignment="1">
      <alignment wrapText="1"/>
    </xf>
    <xf numFmtId="6" fontId="23" fillId="35" borderId="123" xfId="0" applyNumberFormat="1" applyFont="1" applyFill="1" applyBorder="1" applyAlignment="1">
      <alignment wrapText="1"/>
    </xf>
    <xf numFmtId="6" fontId="23" fillId="35" borderId="125" xfId="0" applyNumberFormat="1" applyFont="1" applyFill="1" applyBorder="1" applyAlignment="1">
      <alignment wrapText="1"/>
    </xf>
    <xf numFmtId="0" fontId="15" fillId="0" borderId="15" xfId="0" applyFont="1" applyBorder="1" applyAlignment="1">
      <alignment wrapText="1"/>
    </xf>
    <xf numFmtId="0" fontId="15" fillId="0" borderId="60" xfId="0" applyFont="1" applyBorder="1" applyAlignment="1">
      <alignment wrapText="1"/>
    </xf>
    <xf numFmtId="276" fontId="15" fillId="0" borderId="15" xfId="2" applyNumberFormat="1" applyFont="1" applyBorder="1" applyAlignment="1">
      <alignment wrapText="1"/>
    </xf>
    <xf numFmtId="277" fontId="15" fillId="0" borderId="60" xfId="2" applyNumberFormat="1" applyFont="1" applyBorder="1" applyAlignment="1">
      <alignment wrapText="1"/>
    </xf>
    <xf numFmtId="0" fontId="23" fillId="35" borderId="77" xfId="0" applyFont="1" applyFill="1" applyBorder="1" applyAlignment="1">
      <alignment wrapText="1"/>
    </xf>
    <xf numFmtId="0" fontId="23" fillId="0" borderId="15" xfId="0" applyFont="1" applyBorder="1" applyAlignment="1">
      <alignment wrapText="1"/>
    </xf>
    <xf numFmtId="8" fontId="177" fillId="0" borderId="0" xfId="0" applyNumberFormat="1" applyFont="1"/>
    <xf numFmtId="0" fontId="181" fillId="0" borderId="0" xfId="0" applyFont="1" applyAlignment="1">
      <alignment horizontal="left" vertical="center" wrapText="1"/>
    </xf>
    <xf numFmtId="0" fontId="177" fillId="0" borderId="0" xfId="0" applyFont="1" applyAlignment="1">
      <alignment wrapText="1"/>
    </xf>
    <xf numFmtId="7" fontId="177" fillId="5" borderId="0" xfId="0" applyNumberFormat="1" applyFont="1" applyFill="1" applyAlignment="1">
      <alignment wrapText="1"/>
    </xf>
    <xf numFmtId="5" fontId="177" fillId="5" borderId="0" xfId="0" applyNumberFormat="1" applyFont="1" applyFill="1" applyAlignment="1">
      <alignment wrapText="1"/>
    </xf>
    <xf numFmtId="0" fontId="181" fillId="37" borderId="0" xfId="1347" applyFont="1" applyFill="1"/>
    <xf numFmtId="10" fontId="188" fillId="37" borderId="0" xfId="1347" applyNumberFormat="1" applyFont="1" applyFill="1" applyAlignment="1">
      <alignment horizontal="center" vertical="center"/>
    </xf>
    <xf numFmtId="0" fontId="177" fillId="0" borderId="0" xfId="1347" applyFont="1" applyAlignment="1">
      <alignment horizontal="left" vertical="center" indent="1"/>
    </xf>
    <xf numFmtId="0" fontId="202" fillId="0" borderId="0" xfId="0" applyFont="1" applyAlignment="1">
      <alignment horizontal="left" vertical="center" wrapText="1"/>
    </xf>
    <xf numFmtId="0" fontId="177" fillId="0" borderId="0" xfId="1347" applyFont="1"/>
    <xf numFmtId="0" fontId="2" fillId="0" borderId="0" xfId="1347" applyAlignment="1">
      <alignment horizontal="center"/>
    </xf>
    <xf numFmtId="166" fontId="2" fillId="0" borderId="0" xfId="1347" applyNumberFormat="1" applyAlignment="1">
      <alignment horizontal="center"/>
    </xf>
    <xf numFmtId="0" fontId="2" fillId="37" borderId="141" xfId="1347" applyFill="1" applyBorder="1"/>
    <xf numFmtId="0" fontId="23" fillId="37" borderId="149" xfId="1347" applyFont="1" applyFill="1" applyBorder="1" applyAlignment="1">
      <alignment horizontal="center" vertical="center"/>
    </xf>
    <xf numFmtId="37" fontId="192" fillId="37" borderId="65" xfId="1347" applyNumberFormat="1" applyFont="1" applyFill="1" applyBorder="1" applyAlignment="1">
      <alignment horizontal="center" vertical="center"/>
    </xf>
    <xf numFmtId="0" fontId="192" fillId="37" borderId="0" xfId="1347" applyFont="1" applyFill="1" applyAlignment="1">
      <alignment horizontal="center" vertical="center"/>
    </xf>
    <xf numFmtId="38" fontId="192" fillId="37" borderId="0" xfId="1347" applyNumberFormat="1" applyFont="1" applyFill="1" applyAlignment="1">
      <alignment horizontal="center" vertical="center"/>
    </xf>
    <xf numFmtId="38" fontId="181" fillId="37" borderId="0" xfId="1347" applyNumberFormat="1" applyFont="1" applyFill="1" applyAlignment="1">
      <alignment horizontal="center"/>
    </xf>
    <xf numFmtId="8" fontId="192" fillId="37" borderId="0" xfId="1347" applyNumberFormat="1" applyFont="1" applyFill="1" applyAlignment="1">
      <alignment horizontal="center" vertical="center"/>
    </xf>
    <xf numFmtId="8" fontId="192" fillId="37" borderId="0" xfId="1347" applyNumberFormat="1" applyFont="1" applyFill="1" applyAlignment="1">
      <alignment horizontal="center"/>
    </xf>
    <xf numFmtId="8" fontId="181" fillId="37" borderId="0" xfId="1347" applyNumberFormat="1" applyFont="1" applyFill="1" applyAlignment="1">
      <alignment horizontal="center"/>
    </xf>
    <xf numFmtId="38" fontId="192" fillId="37" borderId="0" xfId="1347" applyNumberFormat="1" applyFont="1" applyFill="1" applyAlignment="1">
      <alignment horizontal="center"/>
    </xf>
    <xf numFmtId="166" fontId="192" fillId="37" borderId="0" xfId="1347" applyNumberFormat="1" applyFont="1" applyFill="1" applyAlignment="1">
      <alignment horizontal="center"/>
    </xf>
    <xf numFmtId="0" fontId="177" fillId="0" borderId="64" xfId="0" applyFont="1" applyBorder="1" applyAlignment="1">
      <alignment horizontal="center" wrapText="1"/>
    </xf>
    <xf numFmtId="6" fontId="177" fillId="0" borderId="115" xfId="0" applyNumberFormat="1" applyFont="1" applyBorder="1" applyAlignment="1">
      <alignment wrapText="1"/>
    </xf>
    <xf numFmtId="6" fontId="177" fillId="0" borderId="133" xfId="0" applyNumberFormat="1" applyFont="1" applyBorder="1" applyAlignment="1">
      <alignment wrapText="1"/>
    </xf>
    <xf numFmtId="6" fontId="177" fillId="0" borderId="64" xfId="0" applyNumberFormat="1" applyFont="1" applyBorder="1" applyAlignment="1">
      <alignment wrapText="1"/>
    </xf>
    <xf numFmtId="6" fontId="23" fillId="35" borderId="115" xfId="0" applyNumberFormat="1" applyFont="1" applyFill="1" applyBorder="1" applyAlignment="1">
      <alignment wrapText="1"/>
    </xf>
    <xf numFmtId="10" fontId="177" fillId="0" borderId="115" xfId="7" applyNumberFormat="1" applyFont="1" applyBorder="1" applyAlignment="1">
      <alignment wrapText="1"/>
    </xf>
    <xf numFmtId="6" fontId="23" fillId="35" borderId="112" xfId="0" applyNumberFormat="1" applyFont="1" applyFill="1" applyBorder="1" applyAlignment="1">
      <alignment wrapText="1"/>
    </xf>
    <xf numFmtId="37" fontId="192" fillId="37" borderId="154" xfId="1347" applyNumberFormat="1" applyFont="1" applyFill="1" applyBorder="1" applyAlignment="1">
      <alignment horizontal="center" vertical="center"/>
    </xf>
    <xf numFmtId="37" fontId="192" fillId="37" borderId="155" xfId="1347" applyNumberFormat="1" applyFont="1" applyFill="1" applyBorder="1" applyAlignment="1">
      <alignment horizontal="center" vertical="center"/>
    </xf>
    <xf numFmtId="0" fontId="177" fillId="37" borderId="141" xfId="1347" applyFont="1" applyFill="1" applyBorder="1"/>
    <xf numFmtId="0" fontId="15" fillId="37" borderId="156" xfId="1347" applyFont="1" applyFill="1" applyBorder="1" applyAlignment="1">
      <alignment horizontal="center" vertical="center"/>
    </xf>
    <xf numFmtId="0" fontId="23" fillId="37" borderId="98" xfId="1347" applyFont="1" applyFill="1" applyBorder="1" applyAlignment="1">
      <alignment horizontal="center" vertical="center" wrapText="1"/>
    </xf>
    <xf numFmtId="37" fontId="23" fillId="37" borderId="139" xfId="1347" applyNumberFormat="1" applyFont="1" applyFill="1" applyBorder="1" applyAlignment="1">
      <alignment horizontal="center" vertical="center"/>
    </xf>
    <xf numFmtId="166" fontId="171" fillId="0" borderId="0" xfId="1358" applyNumberFormat="1" applyFont="1" applyFill="1" applyBorder="1" applyAlignment="1">
      <alignment horizontal="center"/>
    </xf>
    <xf numFmtId="169" fontId="0" fillId="37" borderId="0" xfId="1358" applyNumberFormat="1" applyFont="1" applyFill="1" applyBorder="1"/>
    <xf numFmtId="166" fontId="171" fillId="37" borderId="0" xfId="1358" applyNumberFormat="1" applyFont="1" applyFill="1" applyBorder="1" applyAlignment="1">
      <alignment horizontal="center"/>
    </xf>
    <xf numFmtId="182" fontId="15" fillId="0" borderId="0" xfId="0" applyNumberFormat="1" applyFont="1"/>
    <xf numFmtId="275" fontId="192" fillId="0" borderId="0" xfId="0" applyNumberFormat="1" applyFont="1" applyAlignment="1">
      <alignment horizontal="center"/>
    </xf>
    <xf numFmtId="166" fontId="205" fillId="0" borderId="6" xfId="1358" applyNumberFormat="1" applyFont="1" applyFill="1" applyBorder="1" applyAlignment="1">
      <alignment horizontal="right"/>
    </xf>
    <xf numFmtId="166" fontId="205" fillId="0" borderId="78" xfId="1358" applyNumberFormat="1" applyFont="1" applyFill="1" applyBorder="1" applyAlignment="1">
      <alignment horizontal="right"/>
    </xf>
    <xf numFmtId="0" fontId="196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166" fontId="196" fillId="0" borderId="0" xfId="0" applyNumberFormat="1" applyFont="1" applyAlignment="1">
      <alignment horizontal="center" vertical="center"/>
    </xf>
    <xf numFmtId="290" fontId="196" fillId="0" borderId="0" xfId="0" applyNumberFormat="1" applyFont="1" applyAlignment="1">
      <alignment horizontal="center" vertical="center"/>
    </xf>
    <xf numFmtId="282" fontId="196" fillId="0" borderId="0" xfId="0" applyNumberFormat="1" applyFont="1" applyAlignment="1">
      <alignment horizontal="center" vertical="center"/>
    </xf>
    <xf numFmtId="6" fontId="197" fillId="0" borderId="0" xfId="0" applyNumberFormat="1" applyFont="1" applyAlignment="1">
      <alignment horizontal="center" vertical="center"/>
    </xf>
    <xf numFmtId="10" fontId="196" fillId="0" borderId="0" xfId="0" applyNumberFormat="1" applyFont="1" applyAlignment="1">
      <alignment horizontal="center" vertical="center"/>
    </xf>
    <xf numFmtId="0" fontId="2" fillId="37" borderId="149" xfId="1347" applyFill="1" applyBorder="1"/>
    <xf numFmtId="0" fontId="2" fillId="37" borderId="150" xfId="1347" applyFill="1" applyBorder="1"/>
    <xf numFmtId="0" fontId="2" fillId="37" borderId="93" xfId="1347" applyFill="1" applyBorder="1" applyAlignment="1">
      <alignment vertical="center" wrapText="1"/>
    </xf>
    <xf numFmtId="0" fontId="2" fillId="37" borderId="78" xfId="1347" applyFill="1" applyBorder="1" applyAlignment="1">
      <alignment vertical="center" wrapText="1"/>
    </xf>
    <xf numFmtId="0" fontId="2" fillId="37" borderId="140" xfId="1347" applyFill="1" applyBorder="1" applyAlignment="1">
      <alignment vertical="center" wrapText="1"/>
    </xf>
    <xf numFmtId="0" fontId="2" fillId="37" borderId="61" xfId="1347" applyFill="1" applyBorder="1" applyAlignment="1">
      <alignment horizontal="center" vertical="center" wrapText="1"/>
    </xf>
    <xf numFmtId="0" fontId="2" fillId="37" borderId="136" xfId="1347" applyFill="1" applyBorder="1" applyAlignment="1">
      <alignment horizontal="center"/>
    </xf>
    <xf numFmtId="0" fontId="2" fillId="37" borderId="61" xfId="1347" applyFill="1" applyBorder="1" applyAlignment="1">
      <alignment horizontal="center"/>
    </xf>
    <xf numFmtId="0" fontId="2" fillId="37" borderId="93" xfId="1347" applyFill="1" applyBorder="1" applyAlignment="1">
      <alignment horizontal="center" vertical="center" wrapText="1"/>
    </xf>
    <xf numFmtId="0" fontId="2" fillId="37" borderId="15" xfId="1347" applyFill="1" applyBorder="1" applyAlignment="1">
      <alignment horizontal="left"/>
    </xf>
    <xf numFmtId="0" fontId="2" fillId="37" borderId="77" xfId="1347" applyFill="1" applyBorder="1" applyAlignment="1">
      <alignment horizontal="left"/>
    </xf>
    <xf numFmtId="225" fontId="177" fillId="0" borderId="0" xfId="0" applyNumberFormat="1" applyFont="1"/>
    <xf numFmtId="5" fontId="188" fillId="0" borderId="120" xfId="0" applyNumberFormat="1" applyFont="1" applyBorder="1"/>
    <xf numFmtId="5" fontId="177" fillId="0" borderId="133" xfId="0" applyNumberFormat="1" applyFont="1" applyBorder="1"/>
    <xf numFmtId="0" fontId="0" fillId="0" borderId="158" xfId="0" applyBorder="1"/>
    <xf numFmtId="0" fontId="177" fillId="0" borderId="158" xfId="0" applyFont="1" applyBorder="1"/>
    <xf numFmtId="5" fontId="15" fillId="0" borderId="128" xfId="22" applyNumberFormat="1" applyFont="1" applyBorder="1" applyAlignment="1">
      <alignment horizontal="center"/>
    </xf>
    <xf numFmtId="5" fontId="23" fillId="0" borderId="66" xfId="0" applyNumberFormat="1" applyFont="1" applyBorder="1" applyAlignment="1">
      <alignment horizontal="center"/>
    </xf>
    <xf numFmtId="8" fontId="15" fillId="0" borderId="127" xfId="0" applyNumberFormat="1" applyFont="1" applyBorder="1" applyAlignment="1">
      <alignment horizontal="center"/>
    </xf>
    <xf numFmtId="6" fontId="15" fillId="0" borderId="127" xfId="0" applyNumberFormat="1" applyFont="1" applyBorder="1" applyAlignment="1">
      <alignment horizontal="center"/>
    </xf>
    <xf numFmtId="8" fontId="15" fillId="0" borderId="66" xfId="0" applyNumberFormat="1" applyFont="1" applyBorder="1" applyAlignment="1">
      <alignment horizontal="center"/>
    </xf>
    <xf numFmtId="6" fontId="15" fillId="0" borderId="66" xfId="0" applyNumberFormat="1" applyFont="1" applyBorder="1" applyAlignment="1">
      <alignment horizontal="center"/>
    </xf>
    <xf numFmtId="5" fontId="23" fillId="0" borderId="116" xfId="0" applyNumberFormat="1" applyFont="1" applyBorder="1" applyAlignment="1">
      <alignment horizontal="center"/>
    </xf>
    <xf numFmtId="0" fontId="2" fillId="37" borderId="149" xfId="1347" applyFill="1" applyBorder="1" applyAlignment="1">
      <alignment horizontal="center"/>
    </xf>
    <xf numFmtId="0" fontId="181" fillId="0" borderId="65" xfId="0" applyFont="1" applyBorder="1" applyAlignment="1">
      <alignment horizontal="left"/>
    </xf>
    <xf numFmtId="0" fontId="177" fillId="5" borderId="57" xfId="0" applyFont="1" applyFill="1" applyBorder="1" applyAlignment="1">
      <alignment horizontal="left"/>
    </xf>
    <xf numFmtId="3" fontId="196" fillId="0" borderId="0" xfId="0" applyNumberFormat="1" applyFont="1" applyAlignment="1">
      <alignment horizontal="center" vertical="center"/>
    </xf>
    <xf numFmtId="0" fontId="190" fillId="3" borderId="15" xfId="0" applyFont="1" applyFill="1" applyBorder="1" applyAlignment="1">
      <alignment horizontal="left"/>
    </xf>
    <xf numFmtId="309" fontId="203" fillId="0" borderId="122" xfId="0" applyNumberFormat="1" applyFont="1" applyBorder="1" applyAlignment="1">
      <alignment horizontal="left"/>
    </xf>
    <xf numFmtId="38" fontId="23" fillId="35" borderId="116" xfId="22" applyNumberFormat="1" applyFont="1" applyFill="1" applyBorder="1" applyAlignment="1">
      <alignment horizontal="center"/>
    </xf>
    <xf numFmtId="38" fontId="180" fillId="35" borderId="116" xfId="22" applyNumberFormat="1" applyFont="1" applyFill="1" applyBorder="1" applyAlignment="1">
      <alignment horizontal="center"/>
    </xf>
    <xf numFmtId="8" fontId="203" fillId="35" borderId="116" xfId="0" applyNumberFormat="1" applyFont="1" applyFill="1" applyBorder="1" applyAlignment="1">
      <alignment horizontal="center"/>
    </xf>
    <xf numFmtId="310" fontId="203" fillId="0" borderId="122" xfId="0" applyNumberFormat="1" applyFont="1" applyBorder="1" applyAlignment="1">
      <alignment horizontal="left"/>
    </xf>
    <xf numFmtId="311" fontId="203" fillId="0" borderId="122" xfId="0" applyNumberFormat="1" applyFont="1" applyBorder="1" applyAlignment="1">
      <alignment horizontal="left"/>
    </xf>
    <xf numFmtId="312" fontId="203" fillId="0" borderId="122" xfId="0" applyNumberFormat="1" applyFont="1" applyBorder="1" applyAlignment="1">
      <alignment horizontal="left"/>
    </xf>
    <xf numFmtId="313" fontId="23" fillId="44" borderId="114" xfId="0" applyNumberFormat="1" applyFont="1" applyFill="1" applyBorder="1" applyAlignment="1">
      <alignment horizontal="left"/>
    </xf>
    <xf numFmtId="38" fontId="180" fillId="44" borderId="113" xfId="22" applyNumberFormat="1" applyFont="1" applyFill="1" applyBorder="1" applyAlignment="1">
      <alignment horizontal="center"/>
    </xf>
    <xf numFmtId="38" fontId="23" fillId="44" borderId="113" xfId="22" applyNumberFormat="1" applyFont="1" applyFill="1" applyBorder="1" applyAlignment="1">
      <alignment horizontal="center"/>
    </xf>
    <xf numFmtId="8" fontId="23" fillId="44" borderId="113" xfId="0" applyNumberFormat="1" applyFont="1" applyFill="1" applyBorder="1" applyAlignment="1">
      <alignment horizontal="center"/>
    </xf>
    <xf numFmtId="0" fontId="190" fillId="3" borderId="114" xfId="0" applyFont="1" applyFill="1" applyBorder="1" applyAlignment="1">
      <alignment horizontal="left"/>
    </xf>
    <xf numFmtId="38" fontId="23" fillId="9" borderId="116" xfId="22" applyNumberFormat="1" applyFont="1" applyFill="1" applyBorder="1" applyAlignment="1">
      <alignment horizontal="center"/>
    </xf>
    <xf numFmtId="38" fontId="180" fillId="9" borderId="116" xfId="22" applyNumberFormat="1" applyFont="1" applyFill="1" applyBorder="1" applyAlignment="1">
      <alignment horizontal="center"/>
    </xf>
    <xf numFmtId="8" fontId="15" fillId="9" borderId="116" xfId="0" applyNumberFormat="1" applyFont="1" applyFill="1" applyBorder="1" applyAlignment="1">
      <alignment horizontal="center"/>
    </xf>
    <xf numFmtId="38" fontId="177" fillId="0" borderId="0" xfId="0" applyNumberFormat="1" applyFont="1"/>
    <xf numFmtId="0" fontId="24" fillId="0" borderId="119" xfId="14" applyFont="1" applyBorder="1"/>
    <xf numFmtId="3" fontId="15" fillId="0" borderId="120" xfId="14" applyNumberFormat="1" applyFont="1" applyBorder="1" applyAlignment="1">
      <alignment horizontal="center"/>
    </xf>
    <xf numFmtId="8" fontId="15" fillId="0" borderId="120" xfId="0" applyNumberFormat="1" applyFont="1" applyBorder="1"/>
    <xf numFmtId="0" fontId="15" fillId="0" borderId="84" xfId="0" applyFont="1" applyBorder="1"/>
    <xf numFmtId="164" fontId="15" fillId="0" borderId="0" xfId="22" applyNumberFormat="1" applyFont="1" applyBorder="1" applyAlignment="1">
      <alignment horizontal="center"/>
    </xf>
    <xf numFmtId="166" fontId="2" fillId="37" borderId="148" xfId="1358" applyNumberFormat="1" applyFont="1" applyFill="1" applyBorder="1" applyAlignment="1">
      <alignment horizontal="center"/>
    </xf>
    <xf numFmtId="0" fontId="2" fillId="37" borderId="140" xfId="1347" applyFill="1" applyBorder="1" applyAlignment="1">
      <alignment horizontal="center"/>
    </xf>
    <xf numFmtId="168" fontId="2" fillId="37" borderId="147" xfId="1360" applyNumberFormat="1" applyFont="1" applyFill="1" applyBorder="1"/>
    <xf numFmtId="168" fontId="2" fillId="37" borderId="140" xfId="1347" applyNumberFormat="1" applyFill="1" applyBorder="1"/>
    <xf numFmtId="168" fontId="2" fillId="37" borderId="149" xfId="1347" applyNumberFormat="1" applyFill="1" applyBorder="1"/>
    <xf numFmtId="168" fontId="2" fillId="37" borderId="143" xfId="1360" applyNumberFormat="1" applyFont="1" applyFill="1" applyBorder="1"/>
    <xf numFmtId="168" fontId="2" fillId="37" borderId="140" xfId="1360" applyNumberFormat="1" applyFont="1" applyFill="1" applyBorder="1"/>
    <xf numFmtId="0" fontId="178" fillId="8" borderId="141" xfId="0" applyFont="1" applyFill="1" applyBorder="1"/>
    <xf numFmtId="3" fontId="178" fillId="8" borderId="143" xfId="0" applyNumberFormat="1" applyFont="1" applyFill="1" applyBorder="1"/>
    <xf numFmtId="0" fontId="23" fillId="42" borderId="122" xfId="0" applyFont="1" applyFill="1" applyBorder="1" applyAlignment="1">
      <alignment wrapText="1"/>
    </xf>
    <xf numFmtId="14" fontId="23" fillId="9" borderId="15" xfId="0" applyNumberFormat="1" applyFont="1" applyFill="1" applyBorder="1" applyAlignment="1">
      <alignment horizontal="right" vertical="center"/>
    </xf>
    <xf numFmtId="14" fontId="23" fillId="9" borderId="57" xfId="1347" applyNumberFormat="1" applyFont="1" applyFill="1" applyBorder="1"/>
    <xf numFmtId="0" fontId="193" fillId="0" borderId="0" xfId="0" applyFont="1" applyAlignment="1">
      <alignment horizontal="center"/>
    </xf>
    <xf numFmtId="14" fontId="23" fillId="9" borderId="119" xfId="0" applyNumberFormat="1" applyFont="1" applyFill="1" applyBorder="1" applyAlignment="1">
      <alignment horizontal="right" vertical="center"/>
    </xf>
    <xf numFmtId="14" fontId="23" fillId="9" borderId="120" xfId="1347" applyNumberFormat="1" applyFont="1" applyFill="1" applyBorder="1"/>
    <xf numFmtId="14" fontId="23" fillId="9" borderId="121" xfId="1347" applyNumberFormat="1" applyFont="1" applyFill="1" applyBorder="1"/>
    <xf numFmtId="0" fontId="193" fillId="0" borderId="147" xfId="0" applyFont="1" applyBorder="1" applyAlignment="1">
      <alignment horizontal="center"/>
    </xf>
    <xf numFmtId="14" fontId="23" fillId="9" borderId="148" xfId="0" applyNumberFormat="1" applyFont="1" applyFill="1" applyBorder="1" applyAlignment="1">
      <alignment horizontal="right" vertical="center"/>
    </xf>
    <xf numFmtId="0" fontId="193" fillId="0" borderId="140" xfId="0" applyFont="1" applyBorder="1" applyAlignment="1">
      <alignment horizontal="center"/>
    </xf>
    <xf numFmtId="0" fontId="177" fillId="0" borderId="149" xfId="0" applyFont="1" applyBorder="1"/>
    <xf numFmtId="0" fontId="193" fillId="0" borderId="149" xfId="0" applyFont="1" applyBorder="1" applyAlignment="1">
      <alignment horizontal="center"/>
    </xf>
    <xf numFmtId="0" fontId="193" fillId="0" borderId="104" xfId="0" applyFont="1" applyBorder="1" applyAlignment="1">
      <alignment horizontal="center" wrapText="1"/>
    </xf>
    <xf numFmtId="0" fontId="193" fillId="0" borderId="0" xfId="0" applyFont="1" applyAlignment="1">
      <alignment horizontal="center" wrapText="1"/>
    </xf>
    <xf numFmtId="0" fontId="177" fillId="0" borderId="0" xfId="0" applyFont="1" applyAlignment="1">
      <alignment horizontal="center" wrapText="1"/>
    </xf>
    <xf numFmtId="44" fontId="23" fillId="0" borderId="87" xfId="18" applyFont="1" applyBorder="1" applyAlignment="1">
      <alignment horizontal="center"/>
    </xf>
    <xf numFmtId="0" fontId="15" fillId="0" borderId="148" xfId="0" applyFont="1" applyBorder="1"/>
    <xf numFmtId="3" fontId="15" fillId="0" borderId="140" xfId="0" applyNumberFormat="1" applyFont="1" applyBorder="1"/>
    <xf numFmtId="175" fontId="178" fillId="8" borderId="141" xfId="0" applyNumberFormat="1" applyFont="1" applyFill="1" applyBorder="1"/>
    <xf numFmtId="0" fontId="178" fillId="8" borderId="148" xfId="0" applyFont="1" applyFill="1" applyBorder="1" applyAlignment="1">
      <alignment horizontal="left"/>
    </xf>
    <xf numFmtId="5" fontId="23" fillId="0" borderId="3" xfId="22" applyNumberFormat="1" applyFont="1" applyBorder="1"/>
    <xf numFmtId="14" fontId="23" fillId="9" borderId="138" xfId="1347" applyNumberFormat="1" applyFont="1" applyFill="1" applyBorder="1" applyAlignment="1">
      <alignment horizontal="center"/>
    </xf>
    <xf numFmtId="0" fontId="181" fillId="0" borderId="0" xfId="0" applyFont="1" applyAlignment="1">
      <alignment horizontal="left"/>
    </xf>
    <xf numFmtId="0" fontId="181" fillId="0" borderId="0" xfId="0" applyFont="1" applyAlignment="1">
      <alignment wrapText="1"/>
    </xf>
    <xf numFmtId="0" fontId="181" fillId="30" borderId="148" xfId="0" applyFont="1" applyFill="1" applyBorder="1"/>
    <xf numFmtId="166" fontId="181" fillId="30" borderId="149" xfId="0" applyNumberFormat="1" applyFont="1" applyFill="1" applyBorder="1" applyAlignment="1">
      <alignment horizontal="center"/>
    </xf>
    <xf numFmtId="165" fontId="181" fillId="30" borderId="149" xfId="0" applyNumberFormat="1" applyFont="1" applyFill="1" applyBorder="1" applyAlignment="1">
      <alignment horizontal="center"/>
    </xf>
    <xf numFmtId="5" fontId="177" fillId="5" borderId="57" xfId="0" applyNumberFormat="1" applyFont="1" applyFill="1" applyBorder="1" applyAlignment="1">
      <alignment horizontal="left"/>
    </xf>
    <xf numFmtId="0" fontId="23" fillId="9" borderId="155" xfId="1347" applyFont="1" applyFill="1" applyBorder="1" applyAlignment="1">
      <alignment horizontal="center"/>
    </xf>
    <xf numFmtId="14" fontId="23" fillId="9" borderId="112" xfId="1347" applyNumberFormat="1" applyFont="1" applyFill="1" applyBorder="1"/>
    <xf numFmtId="172" fontId="181" fillId="0" borderId="84" xfId="0" applyNumberFormat="1" applyFont="1" applyBorder="1" applyAlignment="1">
      <alignment horizontal="center"/>
    </xf>
    <xf numFmtId="172" fontId="181" fillId="0" borderId="153" xfId="0" applyNumberFormat="1" applyFont="1" applyBorder="1"/>
    <xf numFmtId="172" fontId="181" fillId="0" borderId="85" xfId="0" applyNumberFormat="1" applyFont="1" applyBorder="1"/>
    <xf numFmtId="6" fontId="181" fillId="0" borderId="116" xfId="0" applyNumberFormat="1" applyFont="1" applyBorder="1"/>
    <xf numFmtId="5" fontId="15" fillId="0" borderId="116" xfId="22" applyNumberFormat="1" applyFont="1" applyBorder="1" applyAlignment="1"/>
    <xf numFmtId="5" fontId="23" fillId="0" borderId="116" xfId="0" applyNumberFormat="1" applyFont="1" applyBorder="1"/>
    <xf numFmtId="14" fontId="23" fillId="9" borderId="57" xfId="1347" applyNumberFormat="1" applyFont="1" applyFill="1" applyBorder="1" applyAlignment="1">
      <alignment horizontal="center"/>
    </xf>
    <xf numFmtId="168" fontId="181" fillId="35" borderId="116" xfId="1360" applyNumberFormat="1" applyFont="1" applyFill="1" applyBorder="1"/>
    <xf numFmtId="168" fontId="177" fillId="0" borderId="116" xfId="1360" applyNumberFormat="1" applyFont="1" applyBorder="1"/>
    <xf numFmtId="168" fontId="177" fillId="0" borderId="116" xfId="1360" applyNumberFormat="1" applyFont="1" applyFill="1" applyBorder="1"/>
    <xf numFmtId="168" fontId="181" fillId="5" borderId="116" xfId="1360" applyNumberFormat="1" applyFont="1" applyFill="1" applyBorder="1"/>
    <xf numFmtId="0" fontId="23" fillId="37" borderId="142" xfId="1347" applyFont="1" applyFill="1" applyBorder="1" applyAlignment="1">
      <alignment horizontal="center" vertical="center" wrapText="1"/>
    </xf>
    <xf numFmtId="0" fontId="23" fillId="37" borderId="140" xfId="1347" applyFont="1" applyFill="1" applyBorder="1" applyAlignment="1">
      <alignment horizontal="center" vertical="center" wrapText="1"/>
    </xf>
    <xf numFmtId="5" fontId="15" fillId="0" borderId="115" xfId="22" applyNumberFormat="1" applyFont="1" applyBorder="1" applyAlignment="1">
      <alignment horizontal="center"/>
    </xf>
    <xf numFmtId="267" fontId="180" fillId="0" borderId="116" xfId="0" applyNumberFormat="1" applyFont="1" applyBorder="1" applyAlignment="1">
      <alignment horizontal="left"/>
    </xf>
    <xf numFmtId="272" fontId="180" fillId="0" borderId="116" xfId="0" applyNumberFormat="1" applyFont="1" applyBorder="1" applyAlignment="1">
      <alignment horizontal="left"/>
    </xf>
    <xf numFmtId="261" fontId="180" fillId="0" borderId="116" xfId="0" applyNumberFormat="1" applyFont="1" applyBorder="1" applyAlignment="1">
      <alignment horizontal="left"/>
    </xf>
    <xf numFmtId="0" fontId="177" fillId="0" borderId="116" xfId="0" applyFont="1" applyBorder="1" applyAlignment="1">
      <alignment horizontal="left"/>
    </xf>
    <xf numFmtId="263" fontId="180" fillId="0" borderId="116" xfId="0" applyNumberFormat="1" applyFont="1" applyBorder="1" applyAlignment="1">
      <alignment horizontal="left"/>
    </xf>
    <xf numFmtId="268" fontId="180" fillId="0" borderId="116" xfId="0" applyNumberFormat="1" applyFont="1" applyBorder="1" applyAlignment="1">
      <alignment horizontal="left"/>
    </xf>
    <xf numFmtId="288" fontId="180" fillId="0" borderId="116" xfId="0" applyNumberFormat="1" applyFont="1" applyBorder="1" applyAlignment="1">
      <alignment horizontal="left"/>
    </xf>
    <xf numFmtId="283" fontId="180" fillId="0" borderId="116" xfId="0" applyNumberFormat="1" applyFont="1" applyBorder="1" applyAlignment="1">
      <alignment horizontal="left"/>
    </xf>
    <xf numFmtId="262" fontId="180" fillId="0" borderId="116" xfId="0" applyNumberFormat="1" applyFont="1" applyBorder="1" applyAlignment="1">
      <alignment horizontal="left"/>
    </xf>
    <xf numFmtId="308" fontId="180" fillId="0" borderId="116" xfId="0" applyNumberFormat="1" applyFont="1" applyBorder="1" applyAlignment="1">
      <alignment horizontal="left"/>
    </xf>
    <xf numFmtId="271" fontId="180" fillId="0" borderId="116" xfId="0" applyNumberFormat="1" applyFont="1" applyBorder="1" applyAlignment="1">
      <alignment horizontal="left"/>
    </xf>
    <xf numFmtId="270" fontId="180" fillId="0" borderId="116" xfId="0" applyNumberFormat="1" applyFont="1" applyBorder="1" applyAlignment="1">
      <alignment horizontal="left"/>
    </xf>
    <xf numFmtId="265" fontId="180" fillId="0" borderId="116" xfId="0" applyNumberFormat="1" applyFont="1" applyBorder="1" applyAlignment="1">
      <alignment horizontal="left"/>
    </xf>
    <xf numFmtId="5" fontId="177" fillId="0" borderId="116" xfId="22" applyNumberFormat="1" applyFont="1" applyFill="1" applyBorder="1" applyAlignment="1">
      <alignment horizontal="right"/>
    </xf>
    <xf numFmtId="5" fontId="23" fillId="3" borderId="66" xfId="22" applyNumberFormat="1" applyFont="1" applyFill="1" applyBorder="1" applyAlignment="1">
      <alignment horizontal="right"/>
    </xf>
    <xf numFmtId="5" fontId="15" fillId="0" borderId="116" xfId="22" applyNumberFormat="1" applyFont="1" applyBorder="1" applyAlignment="1">
      <alignment horizontal="right"/>
    </xf>
    <xf numFmtId="5" fontId="15" fillId="0" borderId="66" xfId="22" applyNumberFormat="1" applyFont="1" applyBorder="1" applyAlignment="1">
      <alignment horizontal="right"/>
    </xf>
    <xf numFmtId="5" fontId="15" fillId="0" borderId="127" xfId="22" applyNumberFormat="1" applyFont="1" applyBorder="1" applyAlignment="1">
      <alignment horizontal="right"/>
    </xf>
    <xf numFmtId="0" fontId="177" fillId="0" borderId="0" xfId="0" applyFont="1" applyAlignment="1">
      <alignment horizontal="left" wrapText="1"/>
    </xf>
    <xf numFmtId="6" fontId="177" fillId="0" borderId="0" xfId="18" applyNumberFormat="1" applyFont="1" applyFill="1" applyBorder="1" applyAlignment="1">
      <alignment horizontal="left"/>
    </xf>
    <xf numFmtId="43" fontId="177" fillId="0" borderId="0" xfId="1360" applyFont="1" applyFill="1" applyBorder="1"/>
    <xf numFmtId="0" fontId="181" fillId="37" borderId="141" xfId="1347" applyFont="1" applyFill="1" applyBorder="1" applyAlignment="1">
      <alignment horizontal="left" vertical="center"/>
    </xf>
    <xf numFmtId="0" fontId="177" fillId="37" borderId="143" xfId="1347" applyFont="1" applyFill="1" applyBorder="1" applyAlignment="1">
      <alignment vertical="center"/>
    </xf>
    <xf numFmtId="0" fontId="177" fillId="37" borderId="77" xfId="1347" applyFont="1" applyFill="1" applyBorder="1" applyAlignment="1">
      <alignment horizontal="left" vertical="center" indent="1"/>
    </xf>
    <xf numFmtId="0" fontId="192" fillId="37" borderId="6" xfId="1347" applyFont="1" applyFill="1" applyBorder="1" applyAlignment="1">
      <alignment horizontal="right" vertical="center"/>
    </xf>
    <xf numFmtId="0" fontId="192" fillId="37" borderId="6" xfId="1347" applyFont="1" applyFill="1" applyBorder="1" applyAlignment="1">
      <alignment horizontal="right" vertical="center" wrapText="1"/>
    </xf>
    <xf numFmtId="0" fontId="181" fillId="37" borderId="6" xfId="1347" applyFont="1" applyFill="1" applyBorder="1" applyAlignment="1">
      <alignment horizontal="right"/>
    </xf>
    <xf numFmtId="38" fontId="192" fillId="37" borderId="6" xfId="1347" applyNumberFormat="1" applyFont="1" applyFill="1" applyBorder="1" applyAlignment="1">
      <alignment horizontal="right" vertical="center"/>
    </xf>
    <xf numFmtId="38" fontId="181" fillId="37" borderId="6" xfId="1347" applyNumberFormat="1" applyFont="1" applyFill="1" applyBorder="1" applyAlignment="1">
      <alignment horizontal="right"/>
    </xf>
    <xf numFmtId="8" fontId="192" fillId="37" borderId="6" xfId="1347" applyNumberFormat="1" applyFont="1" applyFill="1" applyBorder="1" applyAlignment="1">
      <alignment horizontal="right" vertical="center"/>
    </xf>
    <xf numFmtId="8" fontId="192" fillId="37" borderId="6" xfId="1347" applyNumberFormat="1" applyFont="1" applyFill="1" applyBorder="1" applyAlignment="1">
      <alignment horizontal="right"/>
    </xf>
    <xf numFmtId="8" fontId="181" fillId="37" borderId="6" xfId="1347" applyNumberFormat="1" applyFont="1" applyFill="1" applyBorder="1" applyAlignment="1">
      <alignment horizontal="right"/>
    </xf>
    <xf numFmtId="166" fontId="192" fillId="37" borderId="6" xfId="1347" applyNumberFormat="1" applyFont="1" applyFill="1" applyBorder="1" applyAlignment="1">
      <alignment horizontal="right"/>
    </xf>
    <xf numFmtId="8" fontId="192" fillId="37" borderId="78" xfId="1347" applyNumberFormat="1" applyFont="1" applyFill="1" applyBorder="1" applyAlignment="1">
      <alignment horizontal="right" vertical="center"/>
    </xf>
    <xf numFmtId="287" fontId="192" fillId="0" borderId="118" xfId="0" applyNumberFormat="1" applyFont="1" applyBorder="1" applyAlignment="1">
      <alignment horizontal="right"/>
    </xf>
    <xf numFmtId="0" fontId="177" fillId="0" borderId="122" xfId="1347" applyFont="1" applyBorder="1" applyAlignment="1">
      <alignment wrapText="1"/>
    </xf>
    <xf numFmtId="267" fontId="192" fillId="0" borderId="118" xfId="0" applyNumberFormat="1" applyFont="1" applyBorder="1" applyAlignment="1">
      <alignment horizontal="right"/>
    </xf>
    <xf numFmtId="306" fontId="192" fillId="0" borderId="118" xfId="0" applyNumberFormat="1" applyFont="1" applyBorder="1" applyAlignment="1">
      <alignment horizontal="right"/>
    </xf>
    <xf numFmtId="0" fontId="177" fillId="0" borderId="122" xfId="1347" applyFont="1" applyBorder="1"/>
    <xf numFmtId="0" fontId="177" fillId="0" borderId="118" xfId="1347" applyFont="1" applyBorder="1" applyAlignment="1">
      <alignment horizontal="right"/>
    </xf>
    <xf numFmtId="261" fontId="192" fillId="0" borderId="118" xfId="0" applyNumberFormat="1" applyFont="1" applyBorder="1" applyAlignment="1">
      <alignment horizontal="right"/>
    </xf>
    <xf numFmtId="262" fontId="192" fillId="0" borderId="118" xfId="0" applyNumberFormat="1" applyFont="1" applyBorder="1" applyAlignment="1">
      <alignment horizontal="right"/>
    </xf>
    <xf numFmtId="0" fontId="192" fillId="0" borderId="118" xfId="0" applyFont="1" applyBorder="1" applyAlignment="1">
      <alignment horizontal="right"/>
    </xf>
    <xf numFmtId="263" fontId="192" fillId="0" borderId="118" xfId="0" applyNumberFormat="1" applyFont="1" applyBorder="1" applyAlignment="1">
      <alignment horizontal="right"/>
    </xf>
    <xf numFmtId="271" fontId="192" fillId="0" borderId="118" xfId="0" applyNumberFormat="1" applyFont="1" applyBorder="1" applyAlignment="1">
      <alignment horizontal="right"/>
    </xf>
    <xf numFmtId="10" fontId="192" fillId="0" borderId="118" xfId="1" applyNumberFormat="1" applyFont="1" applyFill="1" applyBorder="1" applyAlignment="1">
      <alignment horizontal="right"/>
    </xf>
    <xf numFmtId="268" fontId="192" fillId="0" borderId="118" xfId="0" applyNumberFormat="1" applyFont="1" applyBorder="1" applyAlignment="1">
      <alignment horizontal="right"/>
    </xf>
    <xf numFmtId="264" fontId="192" fillId="0" borderId="118" xfId="0" applyNumberFormat="1" applyFont="1" applyBorder="1" applyAlignment="1">
      <alignment horizontal="right"/>
    </xf>
    <xf numFmtId="270" fontId="192" fillId="0" borderId="118" xfId="0" applyNumberFormat="1" applyFont="1" applyBorder="1" applyAlignment="1">
      <alignment horizontal="right"/>
    </xf>
    <xf numFmtId="265" fontId="192" fillId="0" borderId="118" xfId="0" applyNumberFormat="1" applyFont="1" applyBorder="1" applyAlignment="1">
      <alignment horizontal="right"/>
    </xf>
    <xf numFmtId="182" fontId="15" fillId="0" borderId="124" xfId="0" applyNumberFormat="1" applyFont="1" applyBorder="1"/>
    <xf numFmtId="275" fontId="192" fillId="0" borderId="125" xfId="0" applyNumberFormat="1" applyFont="1" applyBorder="1" applyAlignment="1">
      <alignment horizontal="right"/>
    </xf>
    <xf numFmtId="0" fontId="23" fillId="45" borderId="120" xfId="0" applyFont="1" applyFill="1" applyBorder="1"/>
    <xf numFmtId="0" fontId="23" fillId="45" borderId="120" xfId="0" applyFont="1" applyFill="1" applyBorder="1" applyAlignment="1">
      <alignment horizontal="center" wrapText="1"/>
    </xf>
    <xf numFmtId="0" fontId="15" fillId="37" borderId="147" xfId="1347" applyFont="1" applyFill="1" applyBorder="1" applyAlignment="1">
      <alignment horizontal="left" vertical="center"/>
    </xf>
    <xf numFmtId="0" fontId="177" fillId="37" borderId="136" xfId="1347" applyFont="1" applyFill="1" applyBorder="1"/>
    <xf numFmtId="0" fontId="15" fillId="37" borderId="136" xfId="1347" applyFont="1" applyFill="1" applyBorder="1" applyAlignment="1">
      <alignment horizontal="left" vertical="center"/>
    </xf>
    <xf numFmtId="0" fontId="15" fillId="37" borderId="61" xfId="1347" applyFont="1" applyFill="1" applyBorder="1" applyAlignment="1">
      <alignment horizontal="left" vertical="center"/>
    </xf>
    <xf numFmtId="274" fontId="192" fillId="37" borderId="116" xfId="1" applyNumberFormat="1" applyFont="1" applyFill="1" applyBorder="1" applyAlignment="1">
      <alignment horizontal="right" vertical="center"/>
    </xf>
    <xf numFmtId="274" fontId="192" fillId="37" borderId="115" xfId="1" applyNumberFormat="1" applyFont="1" applyFill="1" applyBorder="1" applyAlignment="1">
      <alignment horizontal="right" vertical="center"/>
    </xf>
    <xf numFmtId="176" fontId="177" fillId="0" borderId="0" xfId="0" applyNumberFormat="1" applyFont="1"/>
    <xf numFmtId="0" fontId="176" fillId="0" borderId="0" xfId="0" applyFont="1" applyAlignment="1">
      <alignment horizontal="center" vertical="center"/>
    </xf>
    <xf numFmtId="38" fontId="15" fillId="0" borderId="116" xfId="22" applyNumberFormat="1" applyFont="1" applyFill="1" applyBorder="1" applyAlignment="1">
      <alignment horizontal="center"/>
    </xf>
    <xf numFmtId="312" fontId="15" fillId="0" borderId="122" xfId="2" applyNumberFormat="1" applyFont="1" applyBorder="1"/>
    <xf numFmtId="164" fontId="15" fillId="0" borderId="118" xfId="22" applyNumberFormat="1" applyFont="1" applyBorder="1" applyAlignment="1">
      <alignment horizontal="center"/>
    </xf>
    <xf numFmtId="164" fontId="15" fillId="0" borderId="121" xfId="22" applyNumberFormat="1" applyFont="1" applyBorder="1" applyAlignment="1">
      <alignment horizontal="center"/>
    </xf>
    <xf numFmtId="6" fontId="181" fillId="0" borderId="118" xfId="0" applyNumberFormat="1" applyFont="1" applyBorder="1" applyAlignment="1">
      <alignment horizontal="center"/>
    </xf>
    <xf numFmtId="0" fontId="15" fillId="4" borderId="92" xfId="0" applyFont="1" applyFill="1" applyBorder="1"/>
    <xf numFmtId="5" fontId="15" fillId="0" borderId="120" xfId="22" applyNumberFormat="1" applyFont="1" applyFill="1" applyBorder="1" applyAlignment="1">
      <alignment horizontal="center"/>
    </xf>
    <xf numFmtId="0" fontId="23" fillId="3" borderId="63" xfId="0" applyFont="1" applyFill="1" applyBorder="1"/>
    <xf numFmtId="167" fontId="23" fillId="3" borderId="3" xfId="1" applyNumberFormat="1" applyFont="1" applyFill="1" applyBorder="1" applyAlignment="1">
      <alignment horizontal="center"/>
    </xf>
    <xf numFmtId="0" fontId="23" fillId="3" borderId="127" xfId="0" applyFont="1" applyFill="1" applyBorder="1"/>
    <xf numFmtId="0" fontId="177" fillId="3" borderId="127" xfId="0" applyFont="1" applyFill="1" applyBorder="1"/>
    <xf numFmtId="5" fontId="23" fillId="3" borderId="127" xfId="22" applyNumberFormat="1" applyFont="1" applyFill="1" applyBorder="1" applyAlignment="1">
      <alignment horizontal="center"/>
    </xf>
    <xf numFmtId="8" fontId="15" fillId="0" borderId="116" xfId="0" applyNumberFormat="1" applyFont="1" applyBorder="1"/>
    <xf numFmtId="302" fontId="15" fillId="0" borderId="116" xfId="22" applyNumberFormat="1" applyFont="1" applyFill="1" applyBorder="1" applyAlignment="1">
      <alignment horizontal="center"/>
    </xf>
    <xf numFmtId="175" fontId="178" fillId="8" borderId="148" xfId="0" applyNumberFormat="1" applyFont="1" applyFill="1" applyBorder="1" applyAlignment="1">
      <alignment horizontal="center"/>
    </xf>
    <xf numFmtId="175" fontId="178" fillId="8" borderId="149" xfId="0" applyNumberFormat="1" applyFont="1" applyFill="1" applyBorder="1" applyAlignment="1">
      <alignment horizontal="center"/>
    </xf>
    <xf numFmtId="167" fontId="192" fillId="0" borderId="153" xfId="1" applyNumberFormat="1" applyFont="1" applyBorder="1" applyAlignment="1">
      <alignment horizontal="center"/>
    </xf>
    <xf numFmtId="0" fontId="23" fillId="0" borderId="153" xfId="2" applyFont="1" applyBorder="1"/>
    <xf numFmtId="0" fontId="177" fillId="0" borderId="150" xfId="0" applyFont="1" applyBorder="1"/>
    <xf numFmtId="3" fontId="15" fillId="0" borderId="111" xfId="14" applyNumberFormat="1" applyFont="1" applyBorder="1" applyAlignment="1">
      <alignment horizontal="center"/>
    </xf>
    <xf numFmtId="3" fontId="15" fillId="0" borderId="159" xfId="0" applyNumberFormat="1" applyFont="1" applyBorder="1" applyAlignment="1">
      <alignment horizontal="center"/>
    </xf>
    <xf numFmtId="3" fontId="178" fillId="8" borderId="142" xfId="0" applyNumberFormat="1" applyFont="1" applyFill="1" applyBorder="1"/>
    <xf numFmtId="0" fontId="178" fillId="8" borderId="116" xfId="0" applyFont="1" applyFill="1" applyBorder="1" applyAlignment="1">
      <alignment horizontal="center"/>
    </xf>
    <xf numFmtId="166" fontId="178" fillId="8" borderId="112" xfId="2" applyNumberFormat="1" applyFont="1" applyFill="1" applyBorder="1"/>
    <xf numFmtId="9" fontId="177" fillId="0" borderId="0" xfId="13" applyFont="1" applyFill="1" applyBorder="1"/>
    <xf numFmtId="168" fontId="177" fillId="0" borderId="0" xfId="1360" applyNumberFormat="1" applyFont="1" applyFill="1" applyBorder="1" applyAlignment="1">
      <alignment vertical="center"/>
    </xf>
    <xf numFmtId="168" fontId="177" fillId="0" borderId="0" xfId="1360" applyNumberFormat="1" applyFont="1" applyFill="1" applyBorder="1"/>
    <xf numFmtId="0" fontId="181" fillId="0" borderId="0" xfId="0" applyFont="1" applyAlignment="1">
      <alignment horizontal="right" vertical="center" wrapText="1"/>
    </xf>
    <xf numFmtId="0" fontId="181" fillId="0" borderId="0" xfId="0" applyFont="1" applyAlignment="1">
      <alignment horizontal="center" vertical="center" wrapText="1"/>
    </xf>
    <xf numFmtId="8" fontId="177" fillId="0" borderId="0" xfId="0" applyNumberFormat="1" applyFont="1" applyAlignment="1">
      <alignment horizontal="right"/>
    </xf>
    <xf numFmtId="168" fontId="181" fillId="0" borderId="0" xfId="0" applyNumberFormat="1" applyFont="1"/>
    <xf numFmtId="168" fontId="181" fillId="0" borderId="0" xfId="1360" applyNumberFormat="1" applyFont="1" applyFill="1" applyBorder="1"/>
    <xf numFmtId="0" fontId="178" fillId="8" borderId="77" xfId="0" applyFont="1" applyFill="1" applyBorder="1" applyAlignment="1">
      <alignment horizontal="left"/>
    </xf>
    <xf numFmtId="0" fontId="178" fillId="8" borderId="93" xfId="0" applyFont="1" applyFill="1" applyBorder="1" applyAlignment="1">
      <alignment horizontal="center"/>
    </xf>
    <xf numFmtId="0" fontId="178" fillId="8" borderId="93" xfId="0" applyFont="1" applyFill="1" applyBorder="1" applyAlignment="1">
      <alignment horizontal="center" wrapText="1"/>
    </xf>
    <xf numFmtId="0" fontId="178" fillId="8" borderId="78" xfId="0" applyFont="1" applyFill="1" applyBorder="1" applyAlignment="1">
      <alignment horizontal="center"/>
    </xf>
    <xf numFmtId="14" fontId="23" fillId="0" borderId="15" xfId="0" applyNumberFormat="1" applyFont="1" applyBorder="1" applyAlignment="1">
      <alignment horizontal="center" vertical="center" wrapText="1"/>
    </xf>
    <xf numFmtId="14" fontId="23" fillId="0" borderId="138" xfId="1347" applyNumberFormat="1" applyFont="1" applyBorder="1" applyAlignment="1">
      <alignment horizontal="center"/>
    </xf>
    <xf numFmtId="14" fontId="23" fillId="0" borderId="138" xfId="1347" applyNumberFormat="1" applyFont="1" applyBorder="1" applyAlignment="1">
      <alignment horizontal="center" wrapText="1"/>
    </xf>
    <xf numFmtId="304" fontId="181" fillId="0" borderId="0" xfId="0" applyNumberFormat="1" applyFont="1" applyAlignment="1">
      <alignment wrapText="1"/>
    </xf>
    <xf numFmtId="8" fontId="177" fillId="0" borderId="0" xfId="0" applyNumberFormat="1" applyFont="1" applyAlignment="1">
      <alignment horizontal="center"/>
    </xf>
    <xf numFmtId="305" fontId="177" fillId="0" borderId="0" xfId="0" applyNumberFormat="1" applyFont="1" applyAlignment="1">
      <alignment horizontal="left"/>
    </xf>
    <xf numFmtId="6" fontId="177" fillId="0" borderId="0" xfId="18" applyNumberFormat="1" applyFont="1" applyFill="1" applyBorder="1" applyAlignment="1">
      <alignment horizontal="right"/>
    </xf>
    <xf numFmtId="168" fontId="181" fillId="0" borderId="0" xfId="0" applyNumberFormat="1" applyFont="1" applyAlignment="1">
      <alignment horizontal="center" vertical="center" wrapText="1"/>
    </xf>
    <xf numFmtId="168" fontId="177" fillId="0" borderId="0" xfId="0" applyNumberFormat="1" applyFont="1"/>
    <xf numFmtId="43" fontId="181" fillId="0" borderId="0" xfId="0" applyNumberFormat="1" applyFont="1"/>
    <xf numFmtId="179" fontId="23" fillId="0" borderId="160" xfId="22" applyNumberFormat="1" applyFont="1" applyBorder="1" applyAlignment="1">
      <alignment horizontal="center"/>
    </xf>
    <xf numFmtId="176" fontId="23" fillId="0" borderId="160" xfId="22" applyNumberFormat="1" applyFont="1" applyBorder="1" applyAlignment="1">
      <alignment horizontal="center" vertical="center"/>
    </xf>
    <xf numFmtId="0" fontId="15" fillId="4" borderId="160" xfId="0" applyFont="1" applyFill="1" applyBorder="1" applyAlignment="1">
      <alignment horizontal="center"/>
    </xf>
    <xf numFmtId="3" fontId="15" fillId="0" borderId="59" xfId="0" applyNumberFormat="1" applyFont="1" applyBorder="1" applyAlignment="1">
      <alignment horizontal="center"/>
    </xf>
    <xf numFmtId="8" fontId="15" fillId="0" borderId="59" xfId="0" applyNumberFormat="1" applyFont="1" applyBorder="1"/>
    <xf numFmtId="6" fontId="15" fillId="0" borderId="59" xfId="0" applyNumberFormat="1" applyFont="1" applyBorder="1"/>
    <xf numFmtId="0" fontId="177" fillId="0" borderId="93" xfId="0" applyFont="1" applyBorder="1"/>
    <xf numFmtId="5" fontId="177" fillId="0" borderId="8" xfId="0" applyNumberFormat="1" applyFont="1" applyBorder="1"/>
    <xf numFmtId="0" fontId="197" fillId="0" borderId="120" xfId="0" applyFont="1" applyBorder="1" applyAlignment="1">
      <alignment horizontal="center" vertical="center" wrapText="1"/>
    </xf>
    <xf numFmtId="0" fontId="197" fillId="0" borderId="116" xfId="0" applyFont="1" applyBorder="1" applyAlignment="1">
      <alignment horizontal="center" vertical="center" wrapText="1"/>
    </xf>
    <xf numFmtId="0" fontId="196" fillId="0" borderId="84" xfId="0" applyFont="1" applyBorder="1" applyAlignment="1">
      <alignment horizontal="center" vertical="center"/>
    </xf>
    <xf numFmtId="3" fontId="196" fillId="0" borderId="153" xfId="0" applyNumberFormat="1" applyFont="1" applyBorder="1" applyAlignment="1">
      <alignment horizontal="center" vertical="center"/>
    </xf>
    <xf numFmtId="166" fontId="196" fillId="0" borderId="153" xfId="0" applyNumberFormat="1" applyFont="1" applyBorder="1" applyAlignment="1">
      <alignment horizontal="center" vertical="center"/>
    </xf>
    <xf numFmtId="282" fontId="196" fillId="0" borderId="153" xfId="0" applyNumberFormat="1" applyFont="1" applyBorder="1" applyAlignment="1">
      <alignment horizontal="center" vertical="center"/>
    </xf>
    <xf numFmtId="10" fontId="196" fillId="0" borderId="85" xfId="0" applyNumberFormat="1" applyFont="1" applyBorder="1" applyAlignment="1">
      <alignment horizontal="center" vertical="center"/>
    </xf>
    <xf numFmtId="0" fontId="176" fillId="0" borderId="151" xfId="0" applyFont="1" applyBorder="1" applyAlignment="1">
      <alignment horizontal="center" vertical="center" wrapText="1"/>
    </xf>
    <xf numFmtId="0" fontId="176" fillId="0" borderId="154" xfId="0" applyFont="1" applyBorder="1" applyAlignment="1">
      <alignment horizontal="center" vertical="center" wrapText="1"/>
    </xf>
    <xf numFmtId="0" fontId="176" fillId="0" borderId="154" xfId="0" applyFont="1" applyBorder="1" applyAlignment="1">
      <alignment horizontal="center" vertical="center"/>
    </xf>
    <xf numFmtId="0" fontId="176" fillId="0" borderId="157" xfId="0" applyFont="1" applyBorder="1" applyAlignment="1">
      <alignment horizontal="center" vertical="center" wrapText="1"/>
    </xf>
    <xf numFmtId="3" fontId="175" fillId="0" borderId="0" xfId="0" applyNumberFormat="1" applyFont="1"/>
    <xf numFmtId="179" fontId="197" fillId="0" borderId="116" xfId="0" applyNumberFormat="1" applyFont="1" applyBorder="1" applyAlignment="1">
      <alignment horizontal="center" vertical="center"/>
    </xf>
    <xf numFmtId="294" fontId="197" fillId="0" borderId="116" xfId="0" applyNumberFormat="1" applyFont="1" applyBorder="1" applyAlignment="1">
      <alignment horizontal="center" vertical="center" wrapText="1"/>
    </xf>
    <xf numFmtId="278" fontId="197" fillId="0" borderId="116" xfId="0" applyNumberFormat="1" applyFont="1" applyBorder="1" applyAlignment="1">
      <alignment horizontal="center" vertical="center"/>
    </xf>
    <xf numFmtId="3" fontId="197" fillId="0" borderId="116" xfId="0" applyNumberFormat="1" applyFont="1" applyBorder="1" applyAlignment="1">
      <alignment horizontal="center" vertical="center" wrapText="1"/>
    </xf>
    <xf numFmtId="296" fontId="197" fillId="0" borderId="116" xfId="0" applyNumberFormat="1" applyFont="1" applyBorder="1" applyAlignment="1">
      <alignment horizontal="center" vertical="center"/>
    </xf>
    <xf numFmtId="284" fontId="197" fillId="0" borderId="116" xfId="0" applyNumberFormat="1" applyFont="1" applyBorder="1" applyAlignment="1">
      <alignment horizontal="center" vertical="center" wrapText="1"/>
    </xf>
    <xf numFmtId="284" fontId="197" fillId="0" borderId="116" xfId="0" applyNumberFormat="1" applyFont="1" applyBorder="1" applyAlignment="1">
      <alignment horizontal="center" vertical="center"/>
    </xf>
    <xf numFmtId="285" fontId="197" fillId="0" borderId="116" xfId="0" applyNumberFormat="1" applyFont="1" applyBorder="1" applyAlignment="1">
      <alignment horizontal="center" vertical="center"/>
    </xf>
    <xf numFmtId="289" fontId="197" fillId="0" borderId="116" xfId="0" applyNumberFormat="1" applyFont="1" applyBorder="1" applyAlignment="1">
      <alignment horizontal="center" vertical="center"/>
    </xf>
    <xf numFmtId="294" fontId="197" fillId="0" borderId="116" xfId="0" applyNumberFormat="1" applyFont="1" applyBorder="1" applyAlignment="1">
      <alignment horizontal="center" vertical="center"/>
    </xf>
    <xf numFmtId="3" fontId="197" fillId="0" borderId="120" xfId="0" applyNumberFormat="1" applyFont="1" applyBorder="1" applyAlignment="1">
      <alignment horizontal="center" vertical="center" wrapText="1"/>
    </xf>
    <xf numFmtId="179" fontId="197" fillId="0" borderId="120" xfId="0" applyNumberFormat="1" applyFont="1" applyBorder="1" applyAlignment="1">
      <alignment horizontal="center" vertical="center"/>
    </xf>
    <xf numFmtId="284" fontId="197" fillId="0" borderId="120" xfId="0" applyNumberFormat="1" applyFont="1" applyBorder="1" applyAlignment="1">
      <alignment horizontal="center" vertical="center"/>
    </xf>
    <xf numFmtId="278" fontId="197" fillId="0" borderId="120" xfId="0" applyNumberFormat="1" applyFont="1" applyBorder="1" applyAlignment="1">
      <alignment horizontal="center" vertical="center"/>
    </xf>
    <xf numFmtId="3" fontId="197" fillId="0" borderId="116" xfId="0" applyNumberFormat="1" applyFont="1" applyBorder="1" applyAlignment="1">
      <alignment horizontal="center" vertical="center"/>
    </xf>
    <xf numFmtId="3" fontId="197" fillId="0" borderId="120" xfId="0" applyNumberFormat="1" applyFont="1" applyBorder="1" applyAlignment="1">
      <alignment horizontal="center" vertical="center"/>
    </xf>
    <xf numFmtId="0" fontId="176" fillId="0" borderId="151" xfId="0" applyFont="1" applyBorder="1" applyAlignment="1">
      <alignment vertical="center"/>
    </xf>
    <xf numFmtId="0" fontId="176" fillId="0" borderId="122" xfId="0" applyFont="1" applyBorder="1" applyAlignment="1">
      <alignment vertical="center" wrapText="1"/>
    </xf>
    <xf numFmtId="0" fontId="176" fillId="0" borderId="124" xfId="0" applyFont="1" applyBorder="1" applyAlignment="1">
      <alignment vertical="center" wrapText="1"/>
    </xf>
    <xf numFmtId="0" fontId="176" fillId="0" borderId="148" xfId="0" applyFont="1" applyBorder="1" applyAlignment="1">
      <alignment vertical="center"/>
    </xf>
    <xf numFmtId="3" fontId="197" fillId="0" borderId="85" xfId="0" applyNumberFormat="1" applyFont="1" applyBorder="1" applyAlignment="1">
      <alignment horizontal="center" vertical="center"/>
    </xf>
    <xf numFmtId="3" fontId="197" fillId="0" borderId="118" xfId="0" applyNumberFormat="1" applyFont="1" applyBorder="1" applyAlignment="1">
      <alignment horizontal="center" vertical="center"/>
    </xf>
    <xf numFmtId="3" fontId="197" fillId="0" borderId="123" xfId="0" applyNumberFormat="1" applyFont="1" applyBorder="1" applyAlignment="1">
      <alignment horizontal="center" vertical="center"/>
    </xf>
    <xf numFmtId="3" fontId="197" fillId="0" borderId="125" xfId="0" applyNumberFormat="1" applyFont="1" applyBorder="1" applyAlignment="1">
      <alignment horizontal="center" vertical="center"/>
    </xf>
    <xf numFmtId="3" fontId="175" fillId="0" borderId="119" xfId="0" applyNumberFormat="1" applyFont="1" applyBorder="1" applyAlignment="1">
      <alignment horizontal="center" vertical="center"/>
    </xf>
    <xf numFmtId="3" fontId="175" fillId="0" borderId="2" xfId="0" applyNumberFormat="1" applyFont="1" applyBorder="1" applyAlignment="1">
      <alignment horizontal="center" vertical="center"/>
    </xf>
    <xf numFmtId="0" fontId="175" fillId="0" borderId="124" xfId="0" applyFont="1" applyBorder="1" applyAlignment="1">
      <alignment horizontal="center" vertical="center"/>
    </xf>
    <xf numFmtId="291" fontId="175" fillId="47" borderId="120" xfId="0" applyNumberFormat="1" applyFont="1" applyFill="1" applyBorder="1" applyAlignment="1">
      <alignment horizontal="center" vertical="center" wrapText="1"/>
    </xf>
    <xf numFmtId="291" fontId="175" fillId="47" borderId="123" xfId="0" applyNumberFormat="1" applyFont="1" applyFill="1" applyBorder="1" applyAlignment="1">
      <alignment horizontal="center" vertical="center" wrapText="1"/>
    </xf>
    <xf numFmtId="14" fontId="175" fillId="48" borderId="120" xfId="0" applyNumberFormat="1" applyFont="1" applyFill="1" applyBorder="1" applyAlignment="1">
      <alignment horizontal="center" vertical="center"/>
    </xf>
    <xf numFmtId="14" fontId="175" fillId="48" borderId="117" xfId="0" applyNumberFormat="1" applyFont="1" applyFill="1" applyBorder="1" applyAlignment="1">
      <alignment horizontal="center" vertical="center"/>
    </xf>
    <xf numFmtId="14" fontId="175" fillId="48" borderId="117" xfId="0" applyNumberFormat="1" applyFont="1" applyFill="1" applyBorder="1" applyAlignment="1">
      <alignment horizontal="center" vertical="center" wrapText="1"/>
    </xf>
    <xf numFmtId="14" fontId="175" fillId="10" borderId="120" xfId="0" applyNumberFormat="1" applyFont="1" applyFill="1" applyBorder="1" applyAlignment="1">
      <alignment horizontal="center" vertical="center"/>
    </xf>
    <xf numFmtId="14" fontId="175" fillId="10" borderId="123" xfId="0" applyNumberFormat="1" applyFont="1" applyFill="1" applyBorder="1" applyAlignment="1">
      <alignment horizontal="center" vertical="center"/>
    </xf>
    <xf numFmtId="0" fontId="204" fillId="0" borderId="162" xfId="0" applyFont="1" applyBorder="1" applyAlignment="1">
      <alignment horizontal="center" vertical="center" wrapText="1"/>
    </xf>
    <xf numFmtId="0" fontId="204" fillId="47" borderId="154" xfId="0" applyFont="1" applyFill="1" applyBorder="1" applyAlignment="1">
      <alignment horizontal="center" vertical="center" wrapText="1"/>
    </xf>
    <xf numFmtId="0" fontId="204" fillId="48" borderId="162" xfId="0" applyFont="1" applyFill="1" applyBorder="1" applyAlignment="1">
      <alignment horizontal="center" vertical="center" wrapText="1"/>
    </xf>
    <xf numFmtId="0" fontId="204" fillId="10" borderId="154" xfId="0" applyFont="1" applyFill="1" applyBorder="1" applyAlignment="1">
      <alignment horizontal="center" vertical="center" wrapText="1"/>
    </xf>
    <xf numFmtId="0" fontId="175" fillId="0" borderId="163" xfId="0" applyFont="1" applyBorder="1" applyAlignment="1">
      <alignment horizontal="center" vertical="center"/>
    </xf>
    <xf numFmtId="14" fontId="175" fillId="48" borderId="163" xfId="0" applyNumberFormat="1" applyFont="1" applyFill="1" applyBorder="1" applyAlignment="1">
      <alignment horizontal="center" vertical="center" wrapText="1"/>
    </xf>
    <xf numFmtId="10" fontId="196" fillId="44" borderId="149" xfId="0" applyNumberFormat="1" applyFont="1" applyFill="1" applyBorder="1" applyAlignment="1">
      <alignment horizontal="center" vertical="center"/>
    </xf>
    <xf numFmtId="0" fontId="197" fillId="44" borderId="153" xfId="0" applyFont="1" applyFill="1" applyBorder="1" applyAlignment="1">
      <alignment horizontal="center" vertical="center"/>
    </xf>
    <xf numFmtId="0" fontId="15" fillId="0" borderId="92" xfId="0" applyFont="1" applyBorder="1"/>
    <xf numFmtId="168" fontId="15" fillId="0" borderId="87" xfId="22" applyNumberFormat="1" applyFont="1" applyFill="1" applyBorder="1" applyAlignment="1">
      <alignment horizontal="center"/>
    </xf>
    <xf numFmtId="0" fontId="177" fillId="0" borderId="0" xfId="0" applyFont="1" applyAlignment="1">
      <alignment vertical="top" wrapText="1"/>
    </xf>
    <xf numFmtId="0" fontId="177" fillId="0" borderId="0" xfId="0" applyFont="1" applyAlignment="1">
      <alignment vertical="top"/>
    </xf>
    <xf numFmtId="0" fontId="178" fillId="8" borderId="15" xfId="0" applyFont="1" applyFill="1" applyBorder="1"/>
    <xf numFmtId="0" fontId="178" fillId="8" borderId="111" xfId="0" applyFont="1" applyFill="1" applyBorder="1" applyAlignment="1">
      <alignment horizontal="left"/>
    </xf>
    <xf numFmtId="0" fontId="178" fillId="8" borderId="9" xfId="0" applyFont="1" applyFill="1" applyBorder="1" applyAlignment="1">
      <alignment horizontal="center"/>
    </xf>
    <xf numFmtId="0" fontId="178" fillId="8" borderId="2" xfId="0" applyFont="1" applyFill="1" applyBorder="1" applyAlignment="1">
      <alignment horizontal="center"/>
    </xf>
    <xf numFmtId="0" fontId="24" fillId="0" borderId="116" xfId="14" applyFont="1" applyBorder="1"/>
    <xf numFmtId="0" fontId="24" fillId="0" borderId="127" xfId="14" applyFont="1" applyBorder="1"/>
    <xf numFmtId="0" fontId="15" fillId="0" borderId="66" xfId="0" applyFont="1" applyBorder="1"/>
    <xf numFmtId="3" fontId="15" fillId="0" borderId="66" xfId="0" applyNumberFormat="1" applyFont="1" applyBorder="1" applyAlignment="1">
      <alignment horizontal="center"/>
    </xf>
    <xf numFmtId="0" fontId="178" fillId="8" borderId="111" xfId="0" applyFont="1" applyFill="1" applyBorder="1"/>
    <xf numFmtId="3" fontId="178" fillId="8" borderId="2" xfId="0" applyNumberFormat="1" applyFont="1" applyFill="1" applyBorder="1"/>
    <xf numFmtId="0" fontId="15" fillId="0" borderId="116" xfId="0" applyFont="1" applyBorder="1"/>
    <xf numFmtId="3" fontId="192" fillId="0" borderId="116" xfId="0" applyNumberFormat="1" applyFont="1" applyBorder="1"/>
    <xf numFmtId="0" fontId="15" fillId="0" borderId="127" xfId="0" applyFont="1" applyBorder="1"/>
    <xf numFmtId="3" fontId="15" fillId="0" borderId="66" xfId="0" applyNumberFormat="1" applyFont="1" applyBorder="1"/>
    <xf numFmtId="166" fontId="178" fillId="8" borderId="125" xfId="2" applyNumberFormat="1" applyFont="1" applyFill="1" applyBorder="1" applyAlignment="1">
      <alignment horizontal="center"/>
    </xf>
    <xf numFmtId="295" fontId="181" fillId="3" borderId="124" xfId="0" applyNumberFormat="1" applyFont="1" applyFill="1" applyBorder="1" applyAlignment="1">
      <alignment horizontal="left"/>
    </xf>
    <xf numFmtId="273" fontId="23" fillId="3" borderId="84" xfId="0" applyNumberFormat="1" applyFont="1" applyFill="1" applyBorder="1"/>
    <xf numFmtId="6" fontId="23" fillId="3" borderId="85" xfId="1" applyNumberFormat="1" applyFont="1" applyFill="1" applyBorder="1" applyAlignment="1">
      <alignment horizontal="center"/>
    </xf>
    <xf numFmtId="167" fontId="15" fillId="0" borderId="110" xfId="0" applyNumberFormat="1" applyFont="1" applyBorder="1" applyAlignment="1">
      <alignment horizontal="center"/>
    </xf>
    <xf numFmtId="309" fontId="15" fillId="0" borderId="151" xfId="2" applyNumberFormat="1" applyFont="1" applyBorder="1"/>
    <xf numFmtId="38" fontId="15" fillId="0" borderId="154" xfId="22" applyNumberFormat="1" applyFont="1" applyFill="1" applyBorder="1" applyAlignment="1">
      <alignment horizontal="center"/>
    </xf>
    <xf numFmtId="8" fontId="15" fillId="0" borderId="154" xfId="0" applyNumberFormat="1" applyFont="1" applyBorder="1" applyAlignment="1">
      <alignment horizontal="center"/>
    </xf>
    <xf numFmtId="164" fontId="15" fillId="0" borderId="157" xfId="22" applyNumberFormat="1" applyFont="1" applyFill="1" applyBorder="1" applyAlignment="1">
      <alignment horizontal="center"/>
    </xf>
    <xf numFmtId="310" fontId="15" fillId="0" borderId="122" xfId="2" applyNumberFormat="1" applyFont="1" applyBorder="1"/>
    <xf numFmtId="164" fontId="15" fillId="0" borderId="118" xfId="22" applyNumberFormat="1" applyFont="1" applyFill="1" applyBorder="1" applyAlignment="1">
      <alignment horizontal="center"/>
    </xf>
    <xf numFmtId="311" fontId="15" fillId="0" borderId="122" xfId="2" applyNumberFormat="1" applyFont="1" applyBorder="1"/>
    <xf numFmtId="175" fontId="178" fillId="6" borderId="116" xfId="0" applyNumberFormat="1" applyFont="1" applyFill="1" applyBorder="1"/>
    <xf numFmtId="298" fontId="15" fillId="0" borderId="63" xfId="0" applyNumberFormat="1" applyFont="1" applyBorder="1" applyAlignment="1">
      <alignment horizontal="left"/>
    </xf>
    <xf numFmtId="164" fontId="15" fillId="0" borderId="66" xfId="22" applyNumberFormat="1" applyFont="1" applyBorder="1" applyAlignment="1">
      <alignment horizontal="center"/>
    </xf>
    <xf numFmtId="175" fontId="178" fillId="8" borderId="141" xfId="0" applyNumberFormat="1" applyFont="1" applyFill="1" applyBorder="1" applyAlignment="1">
      <alignment horizontal="center"/>
    </xf>
    <xf numFmtId="175" fontId="178" fillId="8" borderId="142" xfId="0" applyNumberFormat="1" applyFont="1" applyFill="1" applyBorder="1" applyAlignment="1">
      <alignment horizontal="center"/>
    </xf>
    <xf numFmtId="297" fontId="178" fillId="8" borderId="93" xfId="0" applyNumberFormat="1" applyFont="1" applyFill="1" applyBorder="1" applyAlignment="1">
      <alignment horizontal="center"/>
    </xf>
    <xf numFmtId="167" fontId="192" fillId="0" borderId="142" xfId="1" applyNumberFormat="1" applyFont="1" applyBorder="1" applyAlignment="1">
      <alignment horizontal="center" vertical="center"/>
    </xf>
    <xf numFmtId="0" fontId="23" fillId="0" borderId="143" xfId="2" applyFont="1" applyBorder="1" applyAlignment="1">
      <alignment vertical="center"/>
    </xf>
    <xf numFmtId="0" fontId="15" fillId="0" borderId="76" xfId="0" applyFont="1" applyBorder="1" applyAlignment="1">
      <alignment horizontal="center"/>
    </xf>
    <xf numFmtId="0" fontId="15" fillId="0" borderId="59" xfId="0" applyFont="1" applyBorder="1"/>
    <xf numFmtId="164" fontId="15" fillId="0" borderId="127" xfId="22" applyNumberFormat="1" applyFont="1" applyBorder="1" applyAlignment="1">
      <alignment horizontal="center"/>
    </xf>
    <xf numFmtId="164" fontId="23" fillId="0" borderId="160" xfId="22" applyNumberFormat="1" applyFont="1" applyBorder="1" applyAlignment="1">
      <alignment horizontal="center"/>
    </xf>
    <xf numFmtId="0" fontId="178" fillId="8" borderId="142" xfId="0" applyFont="1" applyFill="1" applyBorder="1" applyAlignment="1">
      <alignment horizontal="center"/>
    </xf>
    <xf numFmtId="0" fontId="178" fillId="8" borderId="143" xfId="0" applyFont="1" applyFill="1" applyBorder="1" applyAlignment="1">
      <alignment horizontal="center"/>
    </xf>
    <xf numFmtId="5" fontId="15" fillId="11" borderId="116" xfId="22" applyNumberFormat="1" applyFont="1" applyFill="1" applyBorder="1" applyAlignment="1">
      <alignment horizontal="center"/>
    </xf>
    <xf numFmtId="165" fontId="15" fillId="11" borderId="116" xfId="22" applyNumberFormat="1" applyFont="1" applyFill="1" applyBorder="1" applyAlignment="1">
      <alignment horizontal="center"/>
    </xf>
    <xf numFmtId="5" fontId="177" fillId="0" borderId="95" xfId="22" applyNumberFormat="1" applyFont="1" applyFill="1" applyBorder="1" applyAlignment="1">
      <alignment horizontal="right"/>
    </xf>
    <xf numFmtId="5" fontId="177" fillId="0" borderId="66" xfId="22" applyNumberFormat="1" applyFont="1" applyFill="1" applyBorder="1" applyAlignment="1">
      <alignment horizontal="right"/>
    </xf>
    <xf numFmtId="5" fontId="177" fillId="0" borderId="127" xfId="22" applyNumberFormat="1" applyFont="1" applyFill="1" applyBorder="1" applyAlignment="1">
      <alignment horizontal="right"/>
    </xf>
    <xf numFmtId="273" fontId="192" fillId="3" borderId="84" xfId="0" applyNumberFormat="1" applyFont="1" applyFill="1" applyBorder="1" applyAlignment="1">
      <alignment horizontal="left"/>
    </xf>
    <xf numFmtId="0" fontId="181" fillId="0" borderId="0" xfId="0" applyFont="1" applyAlignment="1">
      <alignment horizontal="center"/>
    </xf>
    <xf numFmtId="0" fontId="181" fillId="0" borderId="6" xfId="0" applyFont="1" applyBorder="1" applyAlignment="1">
      <alignment horizontal="center"/>
    </xf>
    <xf numFmtId="0" fontId="181" fillId="0" borderId="15" xfId="0" applyFont="1" applyBorder="1" applyAlignment="1">
      <alignment horizontal="left"/>
    </xf>
    <xf numFmtId="175" fontId="178" fillId="6" borderId="150" xfId="0" applyNumberFormat="1" applyFont="1" applyFill="1" applyBorder="1"/>
    <xf numFmtId="0" fontId="181" fillId="0" borderId="122" xfId="0" applyFont="1" applyBorder="1" applyAlignment="1">
      <alignment horizontal="right"/>
    </xf>
    <xf numFmtId="180" fontId="192" fillId="0" borderId="122" xfId="0" applyNumberFormat="1" applyFont="1" applyBorder="1" applyAlignment="1">
      <alignment horizontal="right"/>
    </xf>
    <xf numFmtId="5" fontId="15" fillId="0" borderId="118" xfId="22" applyNumberFormat="1" applyFont="1" applyBorder="1" applyAlignment="1">
      <alignment horizontal="center"/>
    </xf>
    <xf numFmtId="0" fontId="23" fillId="0" borderId="91" xfId="0" applyFont="1" applyBorder="1" applyAlignment="1">
      <alignment horizontal="right"/>
    </xf>
    <xf numFmtId="5" fontId="23" fillId="0" borderId="59" xfId="0" applyNumberFormat="1" applyFont="1" applyBorder="1" applyAlignment="1">
      <alignment horizontal="center"/>
    </xf>
    <xf numFmtId="5" fontId="23" fillId="0" borderId="92" xfId="0" applyNumberFormat="1" applyFont="1" applyBorder="1" applyAlignment="1">
      <alignment horizontal="center"/>
    </xf>
    <xf numFmtId="167" fontId="23" fillId="0" borderId="110" xfId="0" applyNumberFormat="1" applyFont="1" applyBorder="1" applyAlignment="1">
      <alignment horizontal="center"/>
    </xf>
    <xf numFmtId="167" fontId="175" fillId="0" borderId="118" xfId="0" applyNumberFormat="1" applyFont="1" applyBorder="1" applyAlignment="1">
      <alignment horizontal="center" vertical="center"/>
    </xf>
    <xf numFmtId="167" fontId="175" fillId="0" borderId="121" xfId="0" applyNumberFormat="1" applyFont="1" applyBorder="1" applyAlignment="1">
      <alignment horizontal="center" vertical="center"/>
    </xf>
    <xf numFmtId="6" fontId="177" fillId="4" borderId="117" xfId="0" applyNumberFormat="1" applyFont="1" applyFill="1" applyBorder="1"/>
    <xf numFmtId="5" fontId="177" fillId="0" borderId="2" xfId="0" applyNumberFormat="1" applyFont="1" applyBorder="1"/>
    <xf numFmtId="10" fontId="177" fillId="0" borderId="66" xfId="0" applyNumberFormat="1" applyFont="1" applyBorder="1"/>
    <xf numFmtId="167" fontId="192" fillId="0" borderId="66" xfId="1" applyNumberFormat="1" applyFont="1" applyBorder="1" applyAlignment="1">
      <alignment horizontal="center"/>
    </xf>
    <xf numFmtId="175" fontId="178" fillId="0" borderId="0" xfId="0" applyNumberFormat="1" applyFont="1" applyAlignment="1">
      <alignment horizontal="center"/>
    </xf>
    <xf numFmtId="0" fontId="23" fillId="0" borderId="0" xfId="2" applyFont="1"/>
    <xf numFmtId="0" fontId="17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5" fillId="0" borderId="0" xfId="1360" applyNumberFormat="1" applyFont="1" applyFill="1" applyBorder="1" applyAlignment="1">
      <alignment horizontal="center"/>
    </xf>
    <xf numFmtId="168" fontId="23" fillId="0" borderId="0" xfId="1360" applyNumberFormat="1" applyFont="1" applyFill="1" applyBorder="1" applyAlignment="1">
      <alignment horizontal="center"/>
    </xf>
    <xf numFmtId="168" fontId="23" fillId="0" borderId="0" xfId="1360" applyNumberFormat="1" applyFont="1" applyFill="1" applyAlignment="1">
      <alignment horizontal="center"/>
    </xf>
    <xf numFmtId="168" fontId="181" fillId="0" borderId="0" xfId="0" applyNumberFormat="1" applyFont="1" applyAlignment="1">
      <alignment horizontal="center"/>
    </xf>
    <xf numFmtId="164" fontId="15" fillId="0" borderId="0" xfId="22" applyNumberFormat="1" applyFont="1" applyFill="1" applyBorder="1" applyAlignment="1">
      <alignment horizontal="center"/>
    </xf>
    <xf numFmtId="10" fontId="177" fillId="0" borderId="0" xfId="1" applyNumberFormat="1" applyFont="1" applyFill="1"/>
    <xf numFmtId="167" fontId="192" fillId="0" borderId="138" xfId="1" applyNumberFormat="1" applyFont="1" applyBorder="1" applyAlignment="1">
      <alignment horizontal="center"/>
    </xf>
    <xf numFmtId="0" fontId="23" fillId="0" borderId="138" xfId="2" applyFont="1" applyBorder="1"/>
    <xf numFmtId="0" fontId="178" fillId="8" borderId="141" xfId="0" applyFont="1" applyFill="1" applyBorder="1" applyAlignment="1">
      <alignment horizontal="left"/>
    </xf>
    <xf numFmtId="0" fontId="23" fillId="3" borderId="0" xfId="0" applyFont="1" applyFill="1" applyAlignment="1">
      <alignment horizontal="center"/>
    </xf>
    <xf numFmtId="0" fontId="23" fillId="3" borderId="0" xfId="0" applyFont="1" applyFill="1" applyAlignment="1">
      <alignment horizontal="center" wrapText="1"/>
    </xf>
    <xf numFmtId="0" fontId="23" fillId="3" borderId="6" xfId="0" applyFont="1" applyFill="1" applyBorder="1" applyAlignment="1">
      <alignment horizontal="center"/>
    </xf>
    <xf numFmtId="168" fontId="15" fillId="35" borderId="118" xfId="1360" applyNumberFormat="1" applyFont="1" applyFill="1" applyBorder="1" applyAlignment="1">
      <alignment horizontal="center"/>
    </xf>
    <xf numFmtId="168" fontId="23" fillId="44" borderId="137" xfId="1360" applyNumberFormat="1" applyFont="1" applyFill="1" applyBorder="1" applyAlignment="1">
      <alignment horizontal="center"/>
    </xf>
    <xf numFmtId="0" fontId="180" fillId="3" borderId="0" xfId="0" applyFont="1" applyFill="1" applyAlignment="1">
      <alignment horizontal="center"/>
    </xf>
    <xf numFmtId="168" fontId="23" fillId="3" borderId="6" xfId="1360" applyNumberFormat="1" applyFont="1" applyFill="1" applyBorder="1" applyAlignment="1">
      <alignment horizontal="center"/>
    </xf>
    <xf numFmtId="168" fontId="15" fillId="9" borderId="118" xfId="1360" applyNumberFormat="1" applyFont="1" applyFill="1" applyBorder="1" applyAlignment="1">
      <alignment horizontal="center"/>
    </xf>
    <xf numFmtId="168" fontId="181" fillId="0" borderId="118" xfId="0" applyNumberFormat="1" applyFont="1" applyBorder="1" applyAlignment="1">
      <alignment horizontal="center"/>
    </xf>
    <xf numFmtId="3" fontId="192" fillId="0" borderId="128" xfId="0" applyNumberFormat="1" applyFont="1" applyBorder="1"/>
    <xf numFmtId="0" fontId="15" fillId="11" borderId="67" xfId="0" applyFont="1" applyFill="1" applyBorder="1"/>
    <xf numFmtId="260" fontId="15" fillId="0" borderId="100" xfId="0" applyNumberFormat="1" applyFont="1" applyBorder="1" applyAlignment="1">
      <alignment horizontal="left"/>
    </xf>
    <xf numFmtId="0" fontId="15" fillId="0" borderId="60" xfId="0" applyFont="1" applyBorder="1"/>
    <xf numFmtId="165" fontId="15" fillId="0" borderId="116" xfId="22" applyNumberFormat="1" applyFont="1" applyFill="1" applyBorder="1" applyAlignment="1">
      <alignment horizontal="center"/>
    </xf>
    <xf numFmtId="5" fontId="23" fillId="0" borderId="116" xfId="22" applyNumberFormat="1" applyFont="1" applyFill="1" applyBorder="1" applyAlignment="1">
      <alignment horizontal="center"/>
    </xf>
    <xf numFmtId="7" fontId="15" fillId="0" borderId="116" xfId="22" applyNumberFormat="1" applyFont="1" applyFill="1" applyBorder="1" applyAlignment="1">
      <alignment horizontal="center"/>
    </xf>
    <xf numFmtId="5" fontId="15" fillId="0" borderId="118" xfId="22" applyNumberFormat="1" applyFont="1" applyFill="1" applyBorder="1" applyAlignment="1">
      <alignment horizontal="center"/>
    </xf>
    <xf numFmtId="260" fontId="15" fillId="0" borderId="114" xfId="0" applyNumberFormat="1" applyFont="1" applyBorder="1" applyAlignment="1">
      <alignment horizontal="left"/>
    </xf>
    <xf numFmtId="260" fontId="23" fillId="0" borderId="114" xfId="0" applyNumberFormat="1" applyFont="1" applyBorder="1" applyAlignment="1">
      <alignment horizontal="left"/>
    </xf>
    <xf numFmtId="5" fontId="23" fillId="0" borderId="128" xfId="22" applyNumberFormat="1" applyFont="1" applyFill="1" applyBorder="1" applyAlignment="1">
      <alignment horizontal="center"/>
    </xf>
    <xf numFmtId="0" fontId="181" fillId="0" borderId="63" xfId="0" applyFont="1" applyBorder="1" applyAlignment="1">
      <alignment horizontal="left"/>
    </xf>
    <xf numFmtId="5" fontId="181" fillId="0" borderId="3" xfId="0" applyNumberFormat="1" applyFont="1" applyBorder="1" applyAlignment="1">
      <alignment horizontal="center"/>
    </xf>
    <xf numFmtId="166" fontId="181" fillId="30" borderId="150" xfId="0" applyNumberFormat="1" applyFont="1" applyFill="1" applyBorder="1" applyAlignment="1">
      <alignment horizontal="center"/>
    </xf>
    <xf numFmtId="5" fontId="177" fillId="0" borderId="95" xfId="22" applyNumberFormat="1" applyFont="1" applyFill="1" applyBorder="1" applyAlignment="1">
      <alignment horizontal="center"/>
    </xf>
    <xf numFmtId="5" fontId="177" fillId="0" borderId="66" xfId="22" applyNumberFormat="1" applyFont="1" applyFill="1" applyBorder="1" applyAlignment="1">
      <alignment horizontal="center"/>
    </xf>
    <xf numFmtId="307" fontId="180" fillId="0" borderId="116" xfId="0" applyNumberFormat="1" applyFont="1" applyBorder="1" applyAlignment="1">
      <alignment horizontal="left"/>
    </xf>
    <xf numFmtId="175" fontId="178" fillId="33" borderId="150" xfId="0" applyNumberFormat="1" applyFont="1" applyFill="1" applyBorder="1"/>
    <xf numFmtId="306" fontId="180" fillId="0" borderId="0" xfId="0" applyNumberFormat="1" applyFont="1" applyAlignment="1">
      <alignment horizontal="left"/>
    </xf>
    <xf numFmtId="264" fontId="180" fillId="0" borderId="116" xfId="0" applyNumberFormat="1" applyFont="1" applyBorder="1" applyAlignment="1">
      <alignment horizontal="left"/>
    </xf>
    <xf numFmtId="264" fontId="180" fillId="0" borderId="0" xfId="0" applyNumberFormat="1" applyFont="1" applyAlignment="1">
      <alignment horizontal="left"/>
    </xf>
    <xf numFmtId="275" fontId="180" fillId="0" borderId="116" xfId="0" applyNumberFormat="1" applyFont="1" applyBorder="1" applyAlignment="1">
      <alignment horizontal="left"/>
    </xf>
    <xf numFmtId="269" fontId="180" fillId="0" borderId="127" xfId="1" applyNumberFormat="1" applyFont="1" applyFill="1" applyBorder="1" applyAlignment="1">
      <alignment horizontal="left"/>
    </xf>
    <xf numFmtId="0" fontId="180" fillId="0" borderId="116" xfId="0" applyFont="1" applyBorder="1" applyAlignment="1">
      <alignment horizontal="left" wrapText="1"/>
    </xf>
    <xf numFmtId="0" fontId="180" fillId="0" borderId="116" xfId="0" applyFont="1" applyBorder="1" applyAlignment="1">
      <alignment horizontal="left"/>
    </xf>
    <xf numFmtId="5" fontId="23" fillId="3" borderId="116" xfId="22" applyNumberFormat="1" applyFont="1" applyFill="1" applyBorder="1" applyAlignment="1">
      <alignment horizontal="center"/>
    </xf>
    <xf numFmtId="314" fontId="15" fillId="0" borderId="122" xfId="2" applyNumberFormat="1" applyFont="1" applyBorder="1" applyAlignment="1">
      <alignment horizontal="left"/>
    </xf>
    <xf numFmtId="315" fontId="15" fillId="0" borderId="122" xfId="2" applyNumberFormat="1" applyFont="1" applyBorder="1" applyAlignment="1">
      <alignment horizontal="left"/>
    </xf>
    <xf numFmtId="8" fontId="23" fillId="5" borderId="127" xfId="0" applyNumberFormat="1" applyFont="1" applyFill="1" applyBorder="1"/>
    <xf numFmtId="0" fontId="178" fillId="8" borderId="167" xfId="0" applyFont="1" applyFill="1" applyBorder="1" applyAlignment="1">
      <alignment horizontal="left"/>
    </xf>
    <xf numFmtId="0" fontId="178" fillId="8" borderId="168" xfId="0" applyFont="1" applyFill="1" applyBorder="1" applyAlignment="1">
      <alignment horizontal="center"/>
    </xf>
    <xf numFmtId="0" fontId="178" fillId="8" borderId="169" xfId="0" applyFont="1" applyFill="1" applyBorder="1" applyAlignment="1">
      <alignment horizontal="center"/>
    </xf>
    <xf numFmtId="0" fontId="15" fillId="0" borderId="170" xfId="0" applyFont="1" applyBorder="1"/>
    <xf numFmtId="166" fontId="178" fillId="8" borderId="92" xfId="2" applyNumberFormat="1" applyFont="1" applyFill="1" applyBorder="1" applyAlignment="1">
      <alignment horizontal="center"/>
    </xf>
    <xf numFmtId="260" fontId="15" fillId="0" borderId="122" xfId="0" applyNumberFormat="1" applyFont="1" applyBorder="1" applyAlignment="1">
      <alignment horizontal="left"/>
    </xf>
    <xf numFmtId="5" fontId="23" fillId="0" borderId="118" xfId="22" applyNumberFormat="1" applyFont="1" applyBorder="1" applyAlignment="1">
      <alignment horizontal="center"/>
    </xf>
    <xf numFmtId="0" fontId="181" fillId="30" borderId="167" xfId="0" applyFont="1" applyFill="1" applyBorder="1"/>
    <xf numFmtId="166" fontId="181" fillId="30" borderId="168" xfId="0" applyNumberFormat="1" applyFont="1" applyFill="1" applyBorder="1" applyAlignment="1">
      <alignment horizontal="center"/>
    </xf>
    <xf numFmtId="165" fontId="181" fillId="30" borderId="168" xfId="0" applyNumberFormat="1" applyFont="1" applyFill="1" applyBorder="1" applyAlignment="1">
      <alignment horizontal="center"/>
    </xf>
    <xf numFmtId="166" fontId="181" fillId="30" borderId="169" xfId="0" applyNumberFormat="1" applyFont="1" applyFill="1" applyBorder="1" applyAlignment="1">
      <alignment horizontal="center"/>
    </xf>
    <xf numFmtId="5" fontId="23" fillId="0" borderId="115" xfId="22" applyNumberFormat="1" applyFont="1" applyBorder="1" applyAlignment="1">
      <alignment horizontal="center"/>
    </xf>
    <xf numFmtId="7" fontId="15" fillId="0" borderId="115" xfId="22" applyNumberFormat="1" applyFont="1" applyBorder="1" applyAlignment="1">
      <alignment horizontal="center"/>
    </xf>
    <xf numFmtId="0" fontId="178" fillId="8" borderId="166" xfId="0" applyFont="1" applyFill="1" applyBorder="1" applyAlignment="1">
      <alignment horizontal="center"/>
    </xf>
    <xf numFmtId="5" fontId="23" fillId="0" borderId="128" xfId="22" applyNumberFormat="1" applyFont="1" applyBorder="1" applyAlignment="1">
      <alignment horizontal="center"/>
    </xf>
    <xf numFmtId="37" fontId="15" fillId="0" borderId="116" xfId="22" applyNumberFormat="1" applyFont="1" applyBorder="1"/>
    <xf numFmtId="5" fontId="15" fillId="0" borderId="116" xfId="22" applyNumberFormat="1" applyFont="1" applyBorder="1"/>
    <xf numFmtId="0" fontId="177" fillId="0" borderId="171" xfId="0" applyFont="1" applyBorder="1" applyAlignment="1">
      <alignment horizontal="right"/>
    </xf>
    <xf numFmtId="0" fontId="181" fillId="0" borderId="172" xfId="0" applyFont="1" applyBorder="1" applyAlignment="1">
      <alignment horizontal="center"/>
    </xf>
    <xf numFmtId="37" fontId="15" fillId="0" borderId="118" xfId="22" applyNumberFormat="1" applyFont="1" applyBorder="1"/>
    <xf numFmtId="173" fontId="180" fillId="0" borderId="122" xfId="0" applyNumberFormat="1" applyFont="1" applyBorder="1" applyAlignment="1" applyProtection="1">
      <alignment horizontal="left"/>
      <protection locked="0"/>
    </xf>
    <xf numFmtId="37" fontId="15" fillId="0" borderId="128" xfId="22" applyNumberFormat="1" applyFont="1" applyBorder="1"/>
    <xf numFmtId="0" fontId="181" fillId="0" borderId="152" xfId="0" applyFont="1" applyBorder="1" applyAlignment="1">
      <alignment horizontal="center"/>
    </xf>
    <xf numFmtId="0" fontId="181" fillId="0" borderId="63" xfId="0" applyFont="1" applyBorder="1" applyAlignment="1">
      <alignment horizontal="right"/>
    </xf>
    <xf numFmtId="175" fontId="178" fillId="6" borderId="166" xfId="0" applyNumberFormat="1" applyFont="1" applyFill="1" applyBorder="1"/>
    <xf numFmtId="14" fontId="23" fillId="9" borderId="120" xfId="1347" applyNumberFormat="1" applyFont="1" applyFill="1" applyBorder="1" applyAlignment="1">
      <alignment horizontal="center"/>
    </xf>
    <xf numFmtId="14" fontId="23" fillId="9" borderId="116" xfId="0" applyNumberFormat="1" applyFont="1" applyFill="1" applyBorder="1" applyAlignment="1">
      <alignment horizontal="right" vertical="center"/>
    </xf>
    <xf numFmtId="0" fontId="181" fillId="0" borderId="116" xfId="0" applyFont="1" applyBorder="1"/>
    <xf numFmtId="14" fontId="23" fillId="9" borderId="116" xfId="1347" applyNumberFormat="1" applyFont="1" applyFill="1" applyBorder="1" applyAlignment="1">
      <alignment horizontal="center"/>
    </xf>
    <xf numFmtId="6" fontId="177" fillId="4" borderId="67" xfId="0" applyNumberFormat="1" applyFont="1" applyFill="1" applyBorder="1"/>
    <xf numFmtId="175" fontId="178" fillId="8" borderId="167" xfId="0" applyNumberFormat="1" applyFont="1" applyFill="1" applyBorder="1" applyAlignment="1">
      <alignment horizontal="center"/>
    </xf>
    <xf numFmtId="175" fontId="178" fillId="8" borderId="168" xfId="0" applyNumberFormat="1" applyFont="1" applyFill="1" applyBorder="1" applyAlignment="1">
      <alignment horizontal="center"/>
    </xf>
    <xf numFmtId="167" fontId="192" fillId="0" borderId="174" xfId="1" applyNumberFormat="1" applyFont="1" applyBorder="1" applyAlignment="1">
      <alignment horizontal="center"/>
    </xf>
    <xf numFmtId="0" fontId="23" fillId="0" borderId="164" xfId="2" applyFont="1" applyBorder="1"/>
    <xf numFmtId="0" fontId="177" fillId="0" borderId="15" xfId="0" applyFont="1" applyBorder="1"/>
    <xf numFmtId="38" fontId="192" fillId="0" borderId="66" xfId="22" applyNumberFormat="1" applyFont="1" applyFill="1" applyBorder="1" applyAlignment="1">
      <alignment horizontal="center"/>
    </xf>
    <xf numFmtId="0" fontId="177" fillId="0" borderId="66" xfId="0" applyFont="1" applyBorder="1" applyAlignment="1">
      <alignment horizontal="center"/>
    </xf>
    <xf numFmtId="164" fontId="15" fillId="0" borderId="3" xfId="22" applyNumberFormat="1" applyFont="1" applyFill="1" applyBorder="1" applyAlignment="1">
      <alignment horizontal="center"/>
    </xf>
    <xf numFmtId="43" fontId="177" fillId="0" borderId="66" xfId="1360" applyFont="1" applyFill="1" applyBorder="1" applyAlignment="1">
      <alignment horizontal="center"/>
    </xf>
    <xf numFmtId="43" fontId="177" fillId="0" borderId="0" xfId="0" applyNumberFormat="1" applyFont="1"/>
    <xf numFmtId="288" fontId="180" fillId="0" borderId="66" xfId="0" applyNumberFormat="1" applyFont="1" applyBorder="1" applyAlignment="1">
      <alignment horizontal="left"/>
    </xf>
    <xf numFmtId="175" fontId="178" fillId="32" borderId="168" xfId="0" applyNumberFormat="1" applyFont="1" applyFill="1" applyBorder="1"/>
    <xf numFmtId="0" fontId="178" fillId="32" borderId="169" xfId="0" applyFont="1" applyFill="1" applyBorder="1"/>
    <xf numFmtId="0" fontId="178" fillId="8" borderId="77" xfId="2" applyFont="1" applyFill="1" applyBorder="1"/>
    <xf numFmtId="0" fontId="178" fillId="8" borderId="167" xfId="0" applyFont="1" applyFill="1" applyBorder="1"/>
    <xf numFmtId="0" fontId="178" fillId="8" borderId="78" xfId="0" applyFont="1" applyFill="1" applyBorder="1" applyAlignment="1">
      <alignment horizontal="center" wrapText="1"/>
    </xf>
    <xf numFmtId="5" fontId="15" fillId="0" borderId="116" xfId="22" applyNumberFormat="1" applyFont="1" applyBorder="1" applyAlignment="1">
      <alignment horizontal="center" vertical="center"/>
    </xf>
    <xf numFmtId="5" fontId="15" fillId="0" borderId="127" xfId="22" applyNumberFormat="1" applyFont="1" applyBorder="1" applyAlignment="1">
      <alignment horizontal="center" vertical="center"/>
    </xf>
    <xf numFmtId="175" fontId="178" fillId="6" borderId="169" xfId="0" applyNumberFormat="1" applyFont="1" applyFill="1" applyBorder="1"/>
    <xf numFmtId="6" fontId="181" fillId="0" borderId="118" xfId="0" applyNumberFormat="1" applyFont="1" applyBorder="1" applyAlignment="1">
      <alignment horizontal="center" vertical="center"/>
    </xf>
    <xf numFmtId="180" fontId="23" fillId="0" borderId="122" xfId="0" applyNumberFormat="1" applyFont="1" applyBorder="1" applyAlignment="1">
      <alignment horizontal="right"/>
    </xf>
    <xf numFmtId="5" fontId="15" fillId="0" borderId="118" xfId="22" applyNumberFormat="1" applyFont="1" applyBorder="1" applyAlignment="1">
      <alignment horizontal="center" vertical="center"/>
    </xf>
    <xf numFmtId="0" fontId="177" fillId="0" borderId="63" xfId="0" applyFont="1" applyBorder="1"/>
    <xf numFmtId="6" fontId="177" fillId="0" borderId="64" xfId="0" applyNumberFormat="1" applyFont="1" applyBorder="1"/>
    <xf numFmtId="0" fontId="15" fillId="0" borderId="91" xfId="0" applyFont="1" applyBorder="1" applyAlignment="1">
      <alignment wrapText="1"/>
    </xf>
    <xf numFmtId="38" fontId="181" fillId="0" borderId="77" xfId="0" applyNumberFormat="1" applyFont="1" applyBorder="1"/>
    <xf numFmtId="5" fontId="181" fillId="0" borderId="59" xfId="0" applyNumberFormat="1" applyFont="1" applyBorder="1"/>
    <xf numFmtId="6" fontId="181" fillId="0" borderId="88" xfId="0" applyNumberFormat="1" applyFont="1" applyBorder="1"/>
    <xf numFmtId="5" fontId="181" fillId="0" borderId="88" xfId="0" applyNumberFormat="1" applyFont="1" applyBorder="1"/>
    <xf numFmtId="0" fontId="0" fillId="0" borderId="93" xfId="0" applyBorder="1"/>
    <xf numFmtId="0" fontId="177" fillId="0" borderId="123" xfId="0" applyFont="1" applyBorder="1"/>
    <xf numFmtId="0" fontId="177" fillId="0" borderId="163" xfId="0" applyFont="1" applyBorder="1"/>
    <xf numFmtId="0" fontId="23" fillId="0" borderId="118" xfId="2" applyFont="1" applyBorder="1"/>
    <xf numFmtId="164" fontId="15" fillId="0" borderId="118" xfId="22" applyNumberFormat="1" applyFont="1" applyBorder="1" applyAlignment="1">
      <alignment horizontal="right"/>
    </xf>
    <xf numFmtId="164" fontId="23" fillId="44" borderId="137" xfId="22" applyNumberFormat="1" applyFont="1" applyFill="1" applyBorder="1" applyAlignment="1">
      <alignment horizontal="right"/>
    </xf>
    <xf numFmtId="0" fontId="23" fillId="3" borderId="6" xfId="0" applyFont="1" applyFill="1" applyBorder="1" applyAlignment="1">
      <alignment horizontal="right"/>
    </xf>
    <xf numFmtId="6" fontId="181" fillId="0" borderId="118" xfId="0" applyNumberFormat="1" applyFont="1" applyBorder="1" applyAlignment="1">
      <alignment horizontal="right"/>
    </xf>
    <xf numFmtId="38" fontId="180" fillId="0" borderId="116" xfId="22" applyNumberFormat="1" applyFont="1" applyFill="1" applyBorder="1" applyAlignment="1">
      <alignment horizontal="center"/>
    </xf>
    <xf numFmtId="8" fontId="203" fillId="0" borderId="116" xfId="0" applyNumberFormat="1" applyFont="1" applyBorder="1" applyAlignment="1">
      <alignment horizontal="center"/>
    </xf>
    <xf numFmtId="309" fontId="177" fillId="0" borderId="122" xfId="0" applyNumberFormat="1" applyFont="1" applyBorder="1" applyAlignment="1">
      <alignment horizontal="left"/>
    </xf>
    <xf numFmtId="310" fontId="177" fillId="0" borderId="122" xfId="0" applyNumberFormat="1" applyFont="1" applyBorder="1" applyAlignment="1">
      <alignment horizontal="left"/>
    </xf>
    <xf numFmtId="311" fontId="177" fillId="0" borderId="122" xfId="0" applyNumberFormat="1" applyFont="1" applyBorder="1" applyAlignment="1">
      <alignment horizontal="left"/>
    </xf>
    <xf numFmtId="312" fontId="177" fillId="0" borderId="122" xfId="0" applyNumberFormat="1" applyFont="1" applyBorder="1" applyAlignment="1">
      <alignment horizontal="left"/>
    </xf>
    <xf numFmtId="313" fontId="181" fillId="44" borderId="114" xfId="0" applyNumberFormat="1" applyFont="1" applyFill="1" applyBorder="1" applyAlignment="1">
      <alignment horizontal="left"/>
    </xf>
    <xf numFmtId="0" fontId="207" fillId="3" borderId="114" xfId="0" applyFont="1" applyFill="1" applyBorder="1" applyAlignment="1">
      <alignment horizontal="left"/>
    </xf>
    <xf numFmtId="38" fontId="181" fillId="44" borderId="113" xfId="22" applyNumberFormat="1" applyFont="1" applyFill="1" applyBorder="1" applyAlignment="1">
      <alignment horizontal="center"/>
    </xf>
    <xf numFmtId="8" fontId="181" fillId="44" borderId="113" xfId="0" applyNumberFormat="1" applyFont="1" applyFill="1" applyBorder="1" applyAlignment="1">
      <alignment horizontal="center"/>
    </xf>
    <xf numFmtId="0" fontId="178" fillId="8" borderId="165" xfId="0" applyFont="1" applyFill="1" applyBorder="1" applyAlignment="1">
      <alignment horizontal="center"/>
    </xf>
    <xf numFmtId="5" fontId="15" fillId="11" borderId="118" xfId="22" applyNumberFormat="1" applyFont="1" applyFill="1" applyBorder="1" applyAlignment="1">
      <alignment horizontal="center"/>
    </xf>
    <xf numFmtId="0" fontId="178" fillId="8" borderId="77" xfId="0" applyFont="1" applyFill="1" applyBorder="1"/>
    <xf numFmtId="272" fontId="180" fillId="0" borderId="115" xfId="0" applyNumberFormat="1" applyFont="1" applyBorder="1" applyAlignment="1">
      <alignment horizontal="left"/>
    </xf>
    <xf numFmtId="5" fontId="15" fillId="0" borderId="117" xfId="22" applyNumberFormat="1" applyFont="1" applyBorder="1" applyAlignment="1">
      <alignment horizontal="center"/>
    </xf>
    <xf numFmtId="5" fontId="177" fillId="0" borderId="138" xfId="22" applyNumberFormat="1" applyFont="1" applyFill="1" applyBorder="1" applyAlignment="1">
      <alignment horizontal="right"/>
    </xf>
    <xf numFmtId="0" fontId="23" fillId="0" borderId="3" xfId="2" applyFont="1" applyBorder="1"/>
    <xf numFmtId="6" fontId="181" fillId="0" borderId="127" xfId="0" applyNumberFormat="1" applyFont="1" applyBorder="1" applyAlignment="1">
      <alignment horizontal="center"/>
    </xf>
    <xf numFmtId="5" fontId="15" fillId="11" borderId="10" xfId="22" applyNumberFormat="1" applyFont="1" applyFill="1" applyBorder="1" applyAlignment="1">
      <alignment horizontal="center"/>
    </xf>
    <xf numFmtId="288" fontId="180" fillId="0" borderId="115" xfId="0" applyNumberFormat="1" applyFont="1" applyBorder="1" applyAlignment="1">
      <alignment horizontal="left"/>
    </xf>
    <xf numFmtId="0" fontId="177" fillId="46" borderId="172" xfId="0" applyFont="1" applyFill="1" applyBorder="1"/>
    <xf numFmtId="0" fontId="177" fillId="45" borderId="116" xfId="0" applyFont="1" applyFill="1" applyBorder="1"/>
    <xf numFmtId="5" fontId="177" fillId="45" borderId="116" xfId="0" applyNumberFormat="1" applyFont="1" applyFill="1" applyBorder="1"/>
    <xf numFmtId="10" fontId="177" fillId="45" borderId="116" xfId="0" applyNumberFormat="1" applyFont="1" applyFill="1" applyBorder="1"/>
    <xf numFmtId="10" fontId="181" fillId="45" borderId="116" xfId="0" applyNumberFormat="1" applyFont="1" applyFill="1" applyBorder="1"/>
    <xf numFmtId="3" fontId="177" fillId="0" borderId="116" xfId="0" applyNumberFormat="1" applyFont="1" applyBorder="1" applyAlignment="1">
      <alignment horizontal="right"/>
    </xf>
    <xf numFmtId="168" fontId="177" fillId="35" borderId="116" xfId="1360" applyNumberFormat="1" applyFont="1" applyFill="1" applyBorder="1"/>
    <xf numFmtId="0" fontId="177" fillId="45" borderId="170" xfId="0" applyFont="1" applyFill="1" applyBorder="1"/>
    <xf numFmtId="0" fontId="177" fillId="45" borderId="114" xfId="0" applyFont="1" applyFill="1" applyBorder="1"/>
    <xf numFmtId="0" fontId="177" fillId="45" borderId="132" xfId="0" applyFont="1" applyFill="1" applyBorder="1"/>
    <xf numFmtId="3" fontId="177" fillId="0" borderId="67" xfId="0" applyNumberFormat="1" applyFont="1" applyBorder="1" applyAlignment="1">
      <alignment horizontal="right"/>
    </xf>
    <xf numFmtId="3" fontId="177" fillId="0" borderId="114" xfId="0" applyNumberFormat="1" applyFont="1" applyBorder="1" applyAlignment="1">
      <alignment horizontal="right"/>
    </xf>
    <xf numFmtId="3" fontId="177" fillId="0" borderId="100" xfId="0" applyNumberFormat="1" applyFont="1" applyBorder="1" applyAlignment="1">
      <alignment horizontal="right"/>
    </xf>
    <xf numFmtId="10" fontId="177" fillId="46" borderId="14" xfId="0" applyNumberFormat="1" applyFont="1" applyFill="1" applyBorder="1"/>
    <xf numFmtId="0" fontId="177" fillId="46" borderId="138" xfId="0" applyFont="1" applyFill="1" applyBorder="1"/>
    <xf numFmtId="0" fontId="177" fillId="46" borderId="161" xfId="0" applyFont="1" applyFill="1" applyBorder="1"/>
    <xf numFmtId="5" fontId="177" fillId="0" borderId="120" xfId="22" applyNumberFormat="1" applyFont="1" applyFill="1" applyBorder="1" applyAlignment="1">
      <alignment horizontal="center"/>
    </xf>
    <xf numFmtId="3" fontId="13" fillId="0" borderId="122" xfId="0" applyNumberFormat="1" applyFont="1" applyBorder="1" applyAlignment="1">
      <alignment horizontal="right" vertical="center"/>
    </xf>
    <xf numFmtId="0" fontId="13" fillId="0" borderId="122" xfId="0" applyFont="1" applyBorder="1" applyAlignment="1">
      <alignment horizontal="right" vertical="center"/>
    </xf>
    <xf numFmtId="3" fontId="13" fillId="0" borderId="119" xfId="0" applyNumberFormat="1" applyFont="1" applyBorder="1" applyAlignment="1">
      <alignment horizontal="right" vertical="center"/>
    </xf>
    <xf numFmtId="0" fontId="15" fillId="0" borderId="176" xfId="0" applyFont="1" applyBorder="1" applyAlignment="1">
      <alignment wrapText="1"/>
    </xf>
    <xf numFmtId="287" fontId="192" fillId="0" borderId="177" xfId="0" applyNumberFormat="1" applyFont="1" applyBorder="1" applyAlignment="1">
      <alignment horizontal="right"/>
    </xf>
    <xf numFmtId="0" fontId="177" fillId="0" borderId="94" xfId="0" applyFont="1" applyBorder="1" applyAlignment="1">
      <alignment wrapText="1"/>
    </xf>
    <xf numFmtId="0" fontId="177" fillId="0" borderId="122" xfId="0" applyFont="1" applyBorder="1"/>
    <xf numFmtId="182" fontId="177" fillId="0" borderId="122" xfId="0" applyNumberFormat="1" applyFont="1" applyBorder="1"/>
    <xf numFmtId="0" fontId="177" fillId="0" borderId="119" xfId="0" applyFont="1" applyBorder="1"/>
    <xf numFmtId="0" fontId="177" fillId="0" borderId="126" xfId="0" applyFont="1" applyBorder="1"/>
    <xf numFmtId="0" fontId="2" fillId="37" borderId="15" xfId="1347" applyFill="1" applyBorder="1"/>
    <xf numFmtId="0" fontId="2" fillId="37" borderId="6" xfId="1347" applyFill="1" applyBorder="1"/>
    <xf numFmtId="0" fontId="2" fillId="37" borderId="77" xfId="1347" applyFill="1" applyBorder="1"/>
    <xf numFmtId="0" fontId="2" fillId="37" borderId="78" xfId="1347" applyFill="1" applyBorder="1"/>
    <xf numFmtId="0" fontId="2" fillId="37" borderId="148" xfId="1347" applyFill="1" applyBorder="1" applyAlignment="1">
      <alignment horizontal="right"/>
    </xf>
    <xf numFmtId="0" fontId="2" fillId="37" borderId="149" xfId="1347" applyFill="1" applyBorder="1" applyAlignment="1">
      <alignment horizontal="right"/>
    </xf>
    <xf numFmtId="0" fontId="2" fillId="37" borderId="150" xfId="1347" applyFill="1" applyBorder="1" applyAlignment="1">
      <alignment horizontal="right"/>
    </xf>
    <xf numFmtId="166" fontId="200" fillId="37" borderId="141" xfId="1358" applyNumberFormat="1" applyFont="1" applyFill="1" applyBorder="1" applyAlignment="1">
      <alignment horizontal="center"/>
    </xf>
    <xf numFmtId="166" fontId="200" fillId="37" borderId="142" xfId="1358" applyNumberFormat="1" applyFont="1" applyFill="1" applyBorder="1" applyAlignment="1">
      <alignment horizontal="center"/>
    </xf>
    <xf numFmtId="166" fontId="200" fillId="37" borderId="143" xfId="1358" applyNumberFormat="1" applyFont="1" applyFill="1" applyBorder="1" applyAlignment="1">
      <alignment horizontal="center"/>
    </xf>
    <xf numFmtId="0" fontId="167" fillId="36" borderId="0" xfId="1347" applyFont="1" applyFill="1" applyAlignment="1">
      <alignment horizontal="center" vertical="center"/>
    </xf>
    <xf numFmtId="0" fontId="2" fillId="37" borderId="141" xfId="1347" applyFill="1" applyBorder="1"/>
    <xf numFmtId="0" fontId="2" fillId="37" borderId="143" xfId="1347" applyFill="1" applyBorder="1"/>
    <xf numFmtId="0" fontId="2" fillId="37" borderId="148" xfId="1347" applyFill="1" applyBorder="1" applyAlignment="1">
      <alignment horizontal="center"/>
    </xf>
    <xf numFmtId="0" fontId="2" fillId="37" borderId="150" xfId="1347" applyFill="1" applyBorder="1" applyAlignment="1">
      <alignment horizontal="center"/>
    </xf>
    <xf numFmtId="0" fontId="2" fillId="37" borderId="0" xfId="1347" applyFill="1" applyAlignment="1">
      <alignment horizontal="center"/>
    </xf>
    <xf numFmtId="0" fontId="2" fillId="0" borderId="77" xfId="1347" applyBorder="1" applyAlignment="1">
      <alignment horizontal="left"/>
    </xf>
    <xf numFmtId="0" fontId="2" fillId="0" borderId="93" xfId="1347" applyBorder="1" applyAlignment="1">
      <alignment horizontal="left"/>
    </xf>
    <xf numFmtId="0" fontId="2" fillId="0" borderId="0" xfId="1347" applyAlignment="1">
      <alignment horizontal="center"/>
    </xf>
    <xf numFmtId="0" fontId="2" fillId="0" borderId="15" xfId="1347" applyBorder="1" applyAlignment="1">
      <alignment horizontal="left"/>
    </xf>
    <xf numFmtId="0" fontId="2" fillId="37" borderId="149" xfId="1347" applyFill="1" applyBorder="1" applyAlignment="1">
      <alignment horizontal="center"/>
    </xf>
    <xf numFmtId="0" fontId="200" fillId="42" borderId="79" xfId="1347" applyFont="1" applyFill="1" applyBorder="1" applyAlignment="1">
      <alignment horizontal="center"/>
    </xf>
    <xf numFmtId="0" fontId="200" fillId="42" borderId="80" xfId="1347" applyFont="1" applyFill="1" applyBorder="1" applyAlignment="1">
      <alignment horizontal="center"/>
    </xf>
    <xf numFmtId="0" fontId="200" fillId="42" borderId="81" xfId="1347" applyFont="1" applyFill="1" applyBorder="1" applyAlignment="1">
      <alignment horizontal="center"/>
    </xf>
    <xf numFmtId="0" fontId="181" fillId="35" borderId="148" xfId="1347" applyFont="1" applyFill="1" applyBorder="1" applyAlignment="1">
      <alignment horizontal="center" vertical="center" wrapText="1"/>
    </xf>
    <xf numFmtId="0" fontId="181" fillId="35" borderId="149" xfId="1347" applyFont="1" applyFill="1" applyBorder="1" applyAlignment="1">
      <alignment horizontal="center" vertical="center" wrapText="1"/>
    </xf>
    <xf numFmtId="0" fontId="181" fillId="35" borderId="150" xfId="1347" applyFont="1" applyFill="1" applyBorder="1" applyAlignment="1">
      <alignment horizontal="center" vertical="center" wrapText="1"/>
    </xf>
    <xf numFmtId="0" fontId="181" fillId="42" borderId="144" xfId="0" applyFont="1" applyFill="1" applyBorder="1" applyAlignment="1">
      <alignment horizontal="center" vertical="center" wrapText="1"/>
    </xf>
    <xf numFmtId="0" fontId="181" fillId="42" borderId="145" xfId="0" applyFont="1" applyFill="1" applyBorder="1" applyAlignment="1">
      <alignment horizontal="center" vertical="center" wrapText="1"/>
    </xf>
    <xf numFmtId="0" fontId="181" fillId="42" borderId="146" xfId="0" applyFont="1" applyFill="1" applyBorder="1" applyAlignment="1">
      <alignment horizontal="center" vertical="center" wrapText="1"/>
    </xf>
    <xf numFmtId="0" fontId="181" fillId="37" borderId="0" xfId="1347" applyFont="1" applyFill="1" applyAlignment="1">
      <alignment horizontal="center"/>
    </xf>
    <xf numFmtId="0" fontId="23" fillId="37" borderId="79" xfId="1347" applyFont="1" applyFill="1" applyBorder="1" applyAlignment="1">
      <alignment horizontal="center" vertical="center"/>
    </xf>
    <xf numFmtId="0" fontId="23" fillId="37" borderId="80" xfId="1347" applyFont="1" applyFill="1" applyBorder="1" applyAlignment="1">
      <alignment horizontal="center" vertical="center"/>
    </xf>
    <xf numFmtId="0" fontId="23" fillId="37" borderId="81" xfId="1347" applyFont="1" applyFill="1" applyBorder="1" applyAlignment="1">
      <alignment horizontal="center" vertical="center"/>
    </xf>
    <xf numFmtId="0" fontId="206" fillId="45" borderId="84" xfId="1347" applyFont="1" applyFill="1" applyBorder="1" applyAlignment="1">
      <alignment horizontal="center"/>
    </xf>
    <xf numFmtId="0" fontId="206" fillId="45" borderId="103" xfId="1347" applyFont="1" applyFill="1" applyBorder="1" applyAlignment="1">
      <alignment horizontal="center"/>
    </xf>
    <xf numFmtId="0" fontId="206" fillId="45" borderId="153" xfId="1347" applyFont="1" applyFill="1" applyBorder="1" applyAlignment="1">
      <alignment horizontal="center"/>
    </xf>
    <xf numFmtId="0" fontId="206" fillId="45" borderId="85" xfId="1347" applyFont="1" applyFill="1" applyBorder="1" applyAlignment="1">
      <alignment horizontal="center"/>
    </xf>
    <xf numFmtId="0" fontId="23" fillId="45" borderId="116" xfId="0" applyFont="1" applyFill="1" applyBorder="1" applyAlignment="1">
      <alignment horizontal="center" vertical="center" wrapText="1"/>
    </xf>
    <xf numFmtId="0" fontId="181" fillId="37" borderId="148" xfId="1347" applyFont="1" applyFill="1" applyBorder="1" applyAlignment="1">
      <alignment horizontal="center" vertical="center"/>
    </xf>
    <xf numFmtId="0" fontId="181" fillId="37" borderId="150" xfId="1347" applyFont="1" applyFill="1" applyBorder="1" applyAlignment="1">
      <alignment horizontal="center" vertical="center"/>
    </xf>
    <xf numFmtId="0" fontId="177" fillId="41" borderId="148" xfId="1347" applyFont="1" applyFill="1" applyBorder="1" applyAlignment="1">
      <alignment horizontal="left"/>
    </xf>
    <xf numFmtId="0" fontId="177" fillId="41" borderId="149" xfId="1347" applyFont="1" applyFill="1" applyBorder="1" applyAlignment="1">
      <alignment horizontal="left"/>
    </xf>
    <xf numFmtId="0" fontId="177" fillId="41" borderId="150" xfId="1347" applyFont="1" applyFill="1" applyBorder="1" applyAlignment="1">
      <alignment horizontal="left"/>
    </xf>
    <xf numFmtId="0" fontId="15" fillId="41" borderId="148" xfId="1347" applyFont="1" applyFill="1" applyBorder="1" applyAlignment="1">
      <alignment horizontal="left" vertical="center"/>
    </xf>
    <xf numFmtId="0" fontId="15" fillId="41" borderId="149" xfId="1347" applyFont="1" applyFill="1" applyBorder="1" applyAlignment="1">
      <alignment horizontal="left" vertical="center"/>
    </xf>
    <xf numFmtId="0" fontId="15" fillId="41" borderId="150" xfId="1347" applyFont="1" applyFill="1" applyBorder="1" applyAlignment="1">
      <alignment horizontal="left" vertical="center"/>
    </xf>
    <xf numFmtId="0" fontId="195" fillId="4" borderId="141" xfId="0" applyFont="1" applyFill="1" applyBorder="1" applyAlignment="1">
      <alignment horizontal="center" vertical="center"/>
    </xf>
    <xf numFmtId="0" fontId="195" fillId="4" borderId="142" xfId="0" applyFont="1" applyFill="1" applyBorder="1" applyAlignment="1">
      <alignment horizontal="center" vertical="center"/>
    </xf>
    <xf numFmtId="0" fontId="195" fillId="4" borderId="143" xfId="0" applyFont="1" applyFill="1" applyBorder="1" applyAlignment="1">
      <alignment horizontal="center" vertical="center"/>
    </xf>
    <xf numFmtId="0" fontId="195" fillId="4" borderId="77" xfId="0" applyFont="1" applyFill="1" applyBorder="1" applyAlignment="1">
      <alignment horizontal="center" vertical="center"/>
    </xf>
    <xf numFmtId="0" fontId="195" fillId="4" borderId="93" xfId="0" applyFont="1" applyFill="1" applyBorder="1" applyAlignment="1">
      <alignment horizontal="center" vertical="center"/>
    </xf>
    <xf numFmtId="0" fontId="195" fillId="4" borderId="78" xfId="0" applyFont="1" applyFill="1" applyBorder="1" applyAlignment="1">
      <alignment horizontal="center" vertical="center"/>
    </xf>
    <xf numFmtId="0" fontId="206" fillId="40" borderId="148" xfId="0" applyFont="1" applyFill="1" applyBorder="1" applyAlignment="1">
      <alignment horizontal="center" vertical="center"/>
    </xf>
    <xf numFmtId="0" fontId="206" fillId="40" borderId="149" xfId="0" applyFont="1" applyFill="1" applyBorder="1" applyAlignment="1">
      <alignment horizontal="center" vertical="center"/>
    </xf>
    <xf numFmtId="0" fontId="206" fillId="40" borderId="150" xfId="0" applyFont="1" applyFill="1" applyBorder="1" applyAlignment="1">
      <alignment horizontal="center" vertical="center"/>
    </xf>
    <xf numFmtId="0" fontId="176" fillId="38" borderId="79" xfId="0" applyFont="1" applyFill="1" applyBorder="1" applyAlignment="1">
      <alignment horizontal="center"/>
    </xf>
    <xf numFmtId="0" fontId="176" fillId="38" borderId="80" xfId="0" applyFont="1" applyFill="1" applyBorder="1" applyAlignment="1">
      <alignment horizontal="center"/>
    </xf>
    <xf numFmtId="0" fontId="176" fillId="38" borderId="81" xfId="0" applyFont="1" applyFill="1" applyBorder="1" applyAlignment="1">
      <alignment horizontal="center"/>
    </xf>
    <xf numFmtId="175" fontId="198" fillId="34" borderId="148" xfId="0" applyNumberFormat="1" applyFont="1" applyFill="1" applyBorder="1" applyAlignment="1">
      <alignment horizontal="center"/>
    </xf>
    <xf numFmtId="175" fontId="198" fillId="34" borderId="149" xfId="0" applyNumberFormat="1" applyFont="1" applyFill="1" applyBorder="1" applyAlignment="1">
      <alignment horizontal="center"/>
    </xf>
    <xf numFmtId="0" fontId="178" fillId="32" borderId="79" xfId="0" applyFont="1" applyFill="1" applyBorder="1" applyAlignment="1">
      <alignment horizontal="center"/>
    </xf>
    <xf numFmtId="0" fontId="178" fillId="32" borderId="80" xfId="0" applyFont="1" applyFill="1" applyBorder="1" applyAlignment="1">
      <alignment horizontal="center"/>
    </xf>
    <xf numFmtId="0" fontId="178" fillId="32" borderId="81" xfId="0" applyFont="1" applyFill="1" applyBorder="1" applyAlignment="1">
      <alignment horizontal="center"/>
    </xf>
    <xf numFmtId="175" fontId="178" fillId="34" borderId="149" xfId="0" applyNumberFormat="1" applyFont="1" applyFill="1" applyBorder="1" applyAlignment="1">
      <alignment horizontal="center"/>
    </xf>
    <xf numFmtId="175" fontId="178" fillId="34" borderId="150" xfId="0" applyNumberFormat="1" applyFont="1" applyFill="1" applyBorder="1" applyAlignment="1">
      <alignment horizontal="center"/>
    </xf>
    <xf numFmtId="5" fontId="15" fillId="0" borderId="133" xfId="22" applyNumberFormat="1" applyFont="1" applyBorder="1" applyAlignment="1">
      <alignment horizontal="center"/>
    </xf>
    <xf numFmtId="5" fontId="15" fillId="0" borderId="135" xfId="22" applyNumberFormat="1" applyFont="1" applyBorder="1" applyAlignment="1">
      <alignment horizontal="center"/>
    </xf>
    <xf numFmtId="0" fontId="177" fillId="5" borderId="57" xfId="0" applyFont="1" applyFill="1" applyBorder="1" applyAlignment="1">
      <alignment horizontal="left"/>
    </xf>
    <xf numFmtId="0" fontId="177" fillId="5" borderId="0" xfId="0" applyFont="1" applyFill="1" applyAlignment="1">
      <alignment horizontal="left"/>
    </xf>
    <xf numFmtId="0" fontId="178" fillId="33" borderId="148" xfId="0" applyFont="1" applyFill="1" applyBorder="1" applyAlignment="1">
      <alignment horizontal="right"/>
    </xf>
    <xf numFmtId="0" fontId="178" fillId="33" borderId="149" xfId="0" applyFont="1" applyFill="1" applyBorder="1" applyAlignment="1">
      <alignment horizontal="right"/>
    </xf>
    <xf numFmtId="175" fontId="178" fillId="33" borderId="149" xfId="0" applyNumberFormat="1" applyFont="1" applyFill="1" applyBorder="1" applyAlignment="1">
      <alignment horizontal="center"/>
    </xf>
    <xf numFmtId="0" fontId="178" fillId="33" borderId="150" xfId="0" applyFont="1" applyFill="1" applyBorder="1" applyAlignment="1">
      <alignment horizontal="center"/>
    </xf>
    <xf numFmtId="0" fontId="15" fillId="0" borderId="77" xfId="0" applyFont="1" applyBorder="1" applyAlignment="1">
      <alignment horizontal="right"/>
    </xf>
    <xf numFmtId="0" fontId="15" fillId="0" borderId="93" xfId="0" applyFont="1" applyBorder="1" applyAlignment="1">
      <alignment horizontal="right"/>
    </xf>
    <xf numFmtId="0" fontId="15" fillId="0" borderId="88" xfId="0" applyFont="1" applyBorder="1" applyAlignment="1">
      <alignment horizontal="right"/>
    </xf>
    <xf numFmtId="0" fontId="178" fillId="6" borderId="115" xfId="0" applyFont="1" applyFill="1" applyBorder="1"/>
    <xf numFmtId="0" fontId="178" fillId="6" borderId="117" xfId="0" applyFont="1" applyFill="1" applyBorder="1"/>
    <xf numFmtId="0" fontId="178" fillId="6" borderId="79" xfId="0" applyFont="1" applyFill="1" applyBorder="1" applyAlignment="1">
      <alignment horizontal="left"/>
    </xf>
    <xf numFmtId="0" fontId="178" fillId="6" borderId="80" xfId="0" applyFont="1" applyFill="1" applyBorder="1" applyAlignment="1">
      <alignment horizontal="left"/>
    </xf>
    <xf numFmtId="0" fontId="178" fillId="6" borderId="77" xfId="0" applyFont="1" applyFill="1" applyBorder="1" applyAlignment="1">
      <alignment horizontal="center"/>
    </xf>
    <xf numFmtId="0" fontId="178" fillId="6" borderId="93" xfId="0" applyFont="1" applyFill="1" applyBorder="1" applyAlignment="1">
      <alignment horizontal="center"/>
    </xf>
    <xf numFmtId="0" fontId="178" fillId="6" borderId="78" xfId="0" applyFont="1" applyFill="1" applyBorder="1" applyAlignment="1">
      <alignment horizontal="center"/>
    </xf>
    <xf numFmtId="0" fontId="178" fillId="6" borderId="97" xfId="0" applyFont="1" applyFill="1" applyBorder="1" applyAlignment="1">
      <alignment horizontal="center"/>
    </xf>
    <xf numFmtId="0" fontId="178" fillId="6" borderId="98" xfId="0" applyFont="1" applyFill="1" applyBorder="1" applyAlignment="1">
      <alignment horizontal="center"/>
    </xf>
    <xf numFmtId="0" fontId="178" fillId="6" borderId="99" xfId="0" applyFont="1" applyFill="1" applyBorder="1" applyAlignment="1">
      <alignment horizontal="center"/>
    </xf>
    <xf numFmtId="0" fontId="181" fillId="0" borderId="0" xfId="0" applyFont="1" applyAlignment="1">
      <alignment horizontal="center" vertical="center"/>
    </xf>
    <xf numFmtId="0" fontId="181" fillId="0" borderId="78" xfId="0" applyFont="1" applyBorder="1" applyAlignment="1">
      <alignment horizontal="center" vertical="center"/>
    </xf>
    <xf numFmtId="0" fontId="181" fillId="0" borderId="65" xfId="0" applyFont="1" applyBorder="1" applyAlignment="1">
      <alignment horizontal="left"/>
    </xf>
    <xf numFmtId="0" fontId="178" fillId="32" borderId="79" xfId="0" applyFont="1" applyFill="1" applyBorder="1" applyAlignment="1">
      <alignment horizontal="right"/>
    </xf>
    <xf numFmtId="0" fontId="178" fillId="32" borderId="80" xfId="0" applyFont="1" applyFill="1" applyBorder="1" applyAlignment="1">
      <alignment horizontal="right"/>
    </xf>
    <xf numFmtId="0" fontId="177" fillId="5" borderId="57" xfId="0" applyFont="1" applyFill="1" applyBorder="1" applyAlignment="1">
      <alignment horizontal="left" wrapText="1"/>
    </xf>
    <xf numFmtId="0" fontId="177" fillId="5" borderId="0" xfId="0" applyFont="1" applyFill="1" applyAlignment="1">
      <alignment horizontal="left" wrapText="1"/>
    </xf>
    <xf numFmtId="0" fontId="178" fillId="6" borderId="148" xfId="0" applyFont="1" applyFill="1" applyBorder="1" applyAlignment="1">
      <alignment horizontal="right"/>
    </xf>
    <xf numFmtId="0" fontId="178" fillId="6" borderId="149" xfId="0" applyFont="1" applyFill="1" applyBorder="1" applyAlignment="1">
      <alignment horizontal="right"/>
    </xf>
    <xf numFmtId="0" fontId="178" fillId="6" borderId="79" xfId="0" applyFont="1" applyFill="1" applyBorder="1" applyAlignment="1">
      <alignment horizontal="right"/>
    </xf>
    <xf numFmtId="0" fontId="178" fillId="6" borderId="80" xfId="0" applyFont="1" applyFill="1" applyBorder="1" applyAlignment="1">
      <alignment horizontal="right"/>
    </xf>
    <xf numFmtId="5" fontId="15" fillId="0" borderId="13" xfId="22" applyNumberFormat="1" applyFont="1" applyBorder="1" applyAlignment="1">
      <alignment horizontal="center"/>
    </xf>
    <xf numFmtId="5" fontId="15" fillId="0" borderId="74" xfId="22" applyNumberFormat="1" applyFont="1" applyBorder="1" applyAlignment="1">
      <alignment horizontal="center"/>
    </xf>
    <xf numFmtId="5" fontId="15" fillId="0" borderId="116" xfId="22" applyNumberFormat="1" applyFont="1" applyBorder="1" applyAlignment="1">
      <alignment horizontal="center"/>
    </xf>
    <xf numFmtId="175" fontId="198" fillId="34" borderId="148" xfId="0" applyNumberFormat="1" applyFont="1" applyFill="1" applyBorder="1" applyAlignment="1">
      <alignment horizontal="right"/>
    </xf>
    <xf numFmtId="175" fontId="198" fillId="34" borderId="149" xfId="0" applyNumberFormat="1" applyFont="1" applyFill="1" applyBorder="1" applyAlignment="1">
      <alignment horizontal="right"/>
    </xf>
    <xf numFmtId="3" fontId="181" fillId="0" borderId="0" xfId="0" applyNumberFormat="1" applyFont="1" applyAlignment="1">
      <alignment horizontal="center" vertical="center"/>
    </xf>
    <xf numFmtId="0" fontId="181" fillId="4" borderId="111" xfId="0" applyFont="1" applyFill="1" applyBorder="1" applyAlignment="1">
      <alignment horizontal="center"/>
    </xf>
    <xf numFmtId="0" fontId="181" fillId="4" borderId="2" xfId="0" applyFont="1" applyFill="1" applyBorder="1" applyAlignment="1">
      <alignment horizontal="center"/>
    </xf>
    <xf numFmtId="0" fontId="181" fillId="4" borderId="116" xfId="0" applyFont="1" applyFill="1" applyBorder="1" applyAlignment="1">
      <alignment horizontal="center"/>
    </xf>
    <xf numFmtId="5" fontId="15" fillId="0" borderId="116" xfId="22" applyNumberFormat="1" applyFont="1" applyFill="1" applyBorder="1" applyAlignment="1">
      <alignment horizontal="center"/>
    </xf>
    <xf numFmtId="3" fontId="178" fillId="32" borderId="149" xfId="0" applyNumberFormat="1" applyFont="1" applyFill="1" applyBorder="1" applyAlignment="1">
      <alignment horizontal="center"/>
    </xf>
    <xf numFmtId="0" fontId="178" fillId="32" borderId="150" xfId="0" applyFont="1" applyFill="1" applyBorder="1" applyAlignment="1">
      <alignment horizontal="center"/>
    </xf>
    <xf numFmtId="0" fontId="178" fillId="32" borderId="148" xfId="0" applyFont="1" applyFill="1" applyBorder="1" applyAlignment="1">
      <alignment horizontal="right"/>
    </xf>
    <xf numFmtId="0" fontId="178" fillId="32" borderId="149" xfId="0" applyFont="1" applyFill="1" applyBorder="1" applyAlignment="1">
      <alignment horizontal="right"/>
    </xf>
    <xf numFmtId="3" fontId="178" fillId="33" borderId="149" xfId="0" applyNumberFormat="1" applyFont="1" applyFill="1" applyBorder="1" applyAlignment="1">
      <alignment horizontal="center"/>
    </xf>
    <xf numFmtId="0" fontId="177" fillId="0" borderId="57" xfId="0" applyFont="1" applyBorder="1" applyAlignment="1">
      <alignment horizontal="left" wrapText="1"/>
    </xf>
    <xf numFmtId="0" fontId="177" fillId="0" borderId="0" xfId="0" applyFont="1" applyAlignment="1">
      <alignment horizontal="left" wrapText="1"/>
    </xf>
    <xf numFmtId="0" fontId="15" fillId="5" borderId="116" xfId="0" applyFont="1" applyFill="1" applyBorder="1" applyAlignment="1">
      <alignment horizontal="center"/>
    </xf>
    <xf numFmtId="5" fontId="23" fillId="0" borderId="116" xfId="22" applyNumberFormat="1" applyFont="1" applyFill="1" applyBorder="1" applyAlignment="1">
      <alignment horizontal="center"/>
    </xf>
    <xf numFmtId="5" fontId="23" fillId="0" borderId="127" xfId="22" applyNumberFormat="1" applyFont="1" applyFill="1" applyBorder="1" applyAlignment="1">
      <alignment horizontal="center"/>
    </xf>
    <xf numFmtId="0" fontId="181" fillId="35" borderId="79" xfId="0" applyFont="1" applyFill="1" applyBorder="1" applyAlignment="1">
      <alignment horizontal="right"/>
    </xf>
    <xf numFmtId="0" fontId="181" fillId="35" borderId="80" xfId="0" applyFont="1" applyFill="1" applyBorder="1" applyAlignment="1">
      <alignment horizontal="right"/>
    </xf>
    <xf numFmtId="0" fontId="181" fillId="0" borderId="6" xfId="0" applyFont="1" applyBorder="1" applyAlignment="1">
      <alignment horizontal="center" vertical="center"/>
    </xf>
    <xf numFmtId="0" fontId="181" fillId="4" borderId="115" xfId="0" applyFont="1" applyFill="1" applyBorder="1" applyAlignment="1">
      <alignment horizontal="center"/>
    </xf>
    <xf numFmtId="0" fontId="181" fillId="4" borderId="117" xfId="0" applyFont="1" applyFill="1" applyBorder="1" applyAlignment="1">
      <alignment horizontal="center"/>
    </xf>
    <xf numFmtId="0" fontId="178" fillId="33" borderId="167" xfId="0" applyFont="1" applyFill="1" applyBorder="1" applyAlignment="1">
      <alignment horizontal="right"/>
    </xf>
    <xf numFmtId="0" fontId="178" fillId="33" borderId="168" xfId="0" applyFont="1" applyFill="1" applyBorder="1" applyAlignment="1">
      <alignment horizontal="right"/>
    </xf>
    <xf numFmtId="175" fontId="178" fillId="33" borderId="168" xfId="0" applyNumberFormat="1" applyFont="1" applyFill="1" applyBorder="1" applyAlignment="1">
      <alignment horizontal="center"/>
    </xf>
    <xf numFmtId="0" fontId="178" fillId="33" borderId="169" xfId="0" applyFont="1" applyFill="1" applyBorder="1" applyAlignment="1">
      <alignment horizontal="center"/>
    </xf>
    <xf numFmtId="0" fontId="178" fillId="6" borderId="170" xfId="0" applyFont="1" applyFill="1" applyBorder="1" applyAlignment="1">
      <alignment horizontal="right"/>
    </xf>
    <xf numFmtId="0" fontId="178" fillId="6" borderId="173" xfId="0" applyFont="1" applyFill="1" applyBorder="1" applyAlignment="1">
      <alignment horizontal="right"/>
    </xf>
    <xf numFmtId="0" fontId="177" fillId="0" borderId="148" xfId="0" applyFont="1" applyBorder="1" applyAlignment="1">
      <alignment horizontal="center"/>
    </xf>
    <xf numFmtId="0" fontId="177" fillId="0" borderId="150" xfId="0" applyFont="1" applyBorder="1" applyAlignment="1">
      <alignment horizontal="center"/>
    </xf>
    <xf numFmtId="0" fontId="15" fillId="0" borderId="148" xfId="0" applyFont="1" applyBorder="1" applyAlignment="1">
      <alignment horizontal="center"/>
    </xf>
    <xf numFmtId="0" fontId="15" fillId="0" borderId="150" xfId="0" applyFont="1" applyBorder="1" applyAlignment="1">
      <alignment horizontal="center"/>
    </xf>
    <xf numFmtId="5" fontId="23" fillId="0" borderId="127" xfId="22" applyNumberFormat="1" applyFont="1" applyBorder="1" applyAlignment="1">
      <alignment horizontal="center"/>
    </xf>
    <xf numFmtId="5" fontId="15" fillId="0" borderId="111" xfId="22" applyNumberFormat="1" applyFont="1" applyBorder="1" applyAlignment="1">
      <alignment horizontal="center"/>
    </xf>
    <xf numFmtId="5" fontId="15" fillId="0" borderId="9" xfId="22" applyNumberFormat="1" applyFont="1" applyBorder="1" applyAlignment="1">
      <alignment horizontal="center"/>
    </xf>
    <xf numFmtId="5" fontId="23" fillId="0" borderId="116" xfId="22" applyNumberFormat="1" applyFont="1" applyBorder="1" applyAlignment="1">
      <alignment horizontal="center"/>
    </xf>
    <xf numFmtId="5" fontId="23" fillId="0" borderId="115" xfId="22" applyNumberFormat="1" applyFont="1" applyBorder="1" applyAlignment="1">
      <alignment horizontal="center"/>
    </xf>
    <xf numFmtId="175" fontId="178" fillId="32" borderId="168" xfId="0" applyNumberFormat="1" applyFont="1" applyFill="1" applyBorder="1" applyAlignment="1">
      <alignment horizontal="center"/>
    </xf>
    <xf numFmtId="0" fontId="178" fillId="32" borderId="169" xfId="0" applyFont="1" applyFill="1" applyBorder="1" applyAlignment="1">
      <alignment horizontal="center"/>
    </xf>
    <xf numFmtId="0" fontId="178" fillId="32" borderId="167" xfId="0" applyFont="1" applyFill="1" applyBorder="1" applyAlignment="1">
      <alignment horizontal="right"/>
    </xf>
    <xf numFmtId="0" fontId="178" fillId="32" borderId="168" xfId="0" applyFont="1" applyFill="1" applyBorder="1" applyAlignment="1">
      <alignment horizontal="right"/>
    </xf>
    <xf numFmtId="0" fontId="178" fillId="32" borderId="167" xfId="0" applyFont="1" applyFill="1" applyBorder="1" applyAlignment="1">
      <alignment horizontal="center"/>
    </xf>
    <xf numFmtId="0" fontId="178" fillId="32" borderId="168" xfId="0" applyFont="1" applyFill="1" applyBorder="1" applyAlignment="1">
      <alignment horizontal="center"/>
    </xf>
    <xf numFmtId="5" fontId="15" fillId="0" borderId="158" xfId="22" applyNumberFormat="1" applyFont="1" applyBorder="1" applyAlignment="1">
      <alignment horizontal="center"/>
    </xf>
    <xf numFmtId="5" fontId="23" fillId="0" borderId="13" xfId="22" applyNumberFormat="1" applyFont="1" applyBorder="1" applyAlignment="1">
      <alignment horizontal="center"/>
    </xf>
    <xf numFmtId="5" fontId="23" fillId="0" borderId="74" xfId="22" applyNumberFormat="1" applyFont="1" applyBorder="1" applyAlignment="1">
      <alignment horizontal="center"/>
    </xf>
    <xf numFmtId="175" fontId="198" fillId="34" borderId="167" xfId="0" applyNumberFormat="1" applyFont="1" applyFill="1" applyBorder="1" applyAlignment="1">
      <alignment horizontal="center"/>
    </xf>
    <xf numFmtId="175" fontId="198" fillId="34" borderId="168" xfId="0" applyNumberFormat="1" applyFont="1" applyFill="1" applyBorder="1" applyAlignment="1">
      <alignment horizontal="center"/>
    </xf>
    <xf numFmtId="0" fontId="198" fillId="34" borderId="167" xfId="0" applyFont="1" applyFill="1" applyBorder="1" applyAlignment="1">
      <alignment horizontal="center"/>
    </xf>
    <xf numFmtId="0" fontId="198" fillId="34" borderId="169" xfId="0" applyFont="1" applyFill="1" applyBorder="1" applyAlignment="1">
      <alignment horizontal="center"/>
    </xf>
    <xf numFmtId="5" fontId="15" fillId="0" borderId="70" xfId="22" applyNumberFormat="1" applyFont="1" applyBorder="1" applyAlignment="1">
      <alignment horizontal="center"/>
    </xf>
    <xf numFmtId="5" fontId="15" fillId="0" borderId="71" xfId="22" applyNumberFormat="1" applyFont="1" applyBorder="1" applyAlignment="1">
      <alignment horizontal="center"/>
    </xf>
    <xf numFmtId="5" fontId="15" fillId="0" borderId="72" xfId="22" applyNumberFormat="1" applyFont="1" applyBorder="1" applyAlignment="1">
      <alignment horizontal="center"/>
    </xf>
    <xf numFmtId="0" fontId="178" fillId="33" borderId="171" xfId="0" applyFont="1" applyFill="1" applyBorder="1" applyAlignment="1">
      <alignment horizontal="right"/>
    </xf>
    <xf numFmtId="0" fontId="178" fillId="33" borderId="165" xfId="0" applyFont="1" applyFill="1" applyBorder="1" applyAlignment="1">
      <alignment horizontal="right"/>
    </xf>
    <xf numFmtId="175" fontId="178" fillId="33" borderId="165" xfId="0" applyNumberFormat="1" applyFont="1" applyFill="1" applyBorder="1" applyAlignment="1">
      <alignment horizontal="center"/>
    </xf>
    <xf numFmtId="175" fontId="178" fillId="33" borderId="166" xfId="0" applyNumberFormat="1" applyFont="1" applyFill="1" applyBorder="1" applyAlignment="1">
      <alignment horizontal="center"/>
    </xf>
    <xf numFmtId="0" fontId="178" fillId="6" borderId="167" xfId="0" applyFont="1" applyFill="1" applyBorder="1" applyAlignment="1">
      <alignment horizontal="right"/>
    </xf>
    <xf numFmtId="0" fontId="178" fillId="6" borderId="168" xfId="0" applyFont="1" applyFill="1" applyBorder="1" applyAlignment="1">
      <alignment horizontal="right"/>
    </xf>
    <xf numFmtId="175" fontId="178" fillId="34" borderId="173" xfId="0" applyNumberFormat="1" applyFont="1" applyFill="1" applyBorder="1" applyAlignment="1">
      <alignment horizontal="center"/>
    </xf>
    <xf numFmtId="175" fontId="178" fillId="34" borderId="175" xfId="0" applyNumberFormat="1" applyFont="1" applyFill="1" applyBorder="1" applyAlignment="1">
      <alignment horizontal="center"/>
    </xf>
    <xf numFmtId="3" fontId="178" fillId="32" borderId="80" xfId="0" applyNumberFormat="1" applyFont="1" applyFill="1" applyBorder="1" applyAlignment="1">
      <alignment horizontal="center"/>
    </xf>
    <xf numFmtId="3" fontId="178" fillId="33" borderId="168" xfId="0" applyNumberFormat="1" applyFont="1" applyFill="1" applyBorder="1" applyAlignment="1">
      <alignment horizontal="center"/>
    </xf>
    <xf numFmtId="0" fontId="181" fillId="35" borderId="115" xfId="0" applyFont="1" applyFill="1" applyBorder="1" applyAlignment="1">
      <alignment horizontal="right"/>
    </xf>
    <xf numFmtId="0" fontId="181" fillId="35" borderId="117" xfId="0" applyFont="1" applyFill="1" applyBorder="1" applyAlignment="1">
      <alignment horizontal="right"/>
    </xf>
    <xf numFmtId="175" fontId="178" fillId="34" borderId="168" xfId="0" applyNumberFormat="1" applyFont="1" applyFill="1" applyBorder="1" applyAlignment="1">
      <alignment horizontal="center"/>
    </xf>
    <xf numFmtId="175" fontId="178" fillId="34" borderId="169" xfId="0" applyNumberFormat="1" applyFont="1" applyFill="1" applyBorder="1" applyAlignment="1">
      <alignment horizontal="center"/>
    </xf>
    <xf numFmtId="3" fontId="178" fillId="32" borderId="168" xfId="0" applyNumberFormat="1" applyFont="1" applyFill="1" applyBorder="1" applyAlignment="1">
      <alignment horizontal="center"/>
    </xf>
    <xf numFmtId="0" fontId="181" fillId="0" borderId="147" xfId="0" applyFont="1" applyBorder="1" applyAlignment="1">
      <alignment horizontal="center" vertical="center"/>
    </xf>
    <xf numFmtId="0" fontId="181" fillId="0" borderId="136" xfId="0" applyFont="1" applyBorder="1" applyAlignment="1">
      <alignment horizontal="center" vertical="center"/>
    </xf>
    <xf numFmtId="0" fontId="181" fillId="0" borderId="15" xfId="0" applyFont="1" applyBorder="1" applyAlignment="1">
      <alignment horizontal="center" vertical="center"/>
    </xf>
    <xf numFmtId="0" fontId="178" fillId="33" borderId="97" xfId="0" applyFont="1" applyFill="1" applyBorder="1" applyAlignment="1">
      <alignment horizontal="right"/>
    </xf>
    <xf numFmtId="0" fontId="178" fillId="33" borderId="98" xfId="0" applyFont="1" applyFill="1" applyBorder="1" applyAlignment="1">
      <alignment horizontal="right"/>
    </xf>
    <xf numFmtId="175" fontId="178" fillId="33" borderId="98" xfId="0" applyNumberFormat="1" applyFont="1" applyFill="1" applyBorder="1" applyAlignment="1">
      <alignment horizontal="center"/>
    </xf>
    <xf numFmtId="0" fontId="178" fillId="33" borderId="98" xfId="0" applyFont="1" applyFill="1" applyBorder="1" applyAlignment="1">
      <alignment horizontal="center"/>
    </xf>
    <xf numFmtId="175" fontId="198" fillId="34" borderId="79" xfId="0" applyNumberFormat="1" applyFont="1" applyFill="1" applyBorder="1" applyAlignment="1">
      <alignment horizontal="center"/>
    </xf>
    <xf numFmtId="175" fontId="198" fillId="34" borderId="80" xfId="0" applyNumberFormat="1" applyFont="1" applyFill="1" applyBorder="1" applyAlignment="1">
      <alignment horizontal="center"/>
    </xf>
    <xf numFmtId="175" fontId="178" fillId="34" borderId="54" xfId="0" applyNumberFormat="1" applyFont="1" applyFill="1" applyBorder="1" applyAlignment="1">
      <alignment horizontal="center"/>
    </xf>
    <xf numFmtId="175" fontId="178" fillId="32" borderId="80" xfId="0" applyNumberFormat="1" applyFont="1" applyFill="1" applyBorder="1" applyAlignment="1">
      <alignment horizontal="center"/>
    </xf>
    <xf numFmtId="0" fontId="181" fillId="0" borderId="65" xfId="0" applyFont="1" applyBorder="1" applyAlignment="1">
      <alignment horizontal="center"/>
    </xf>
    <xf numFmtId="3" fontId="196" fillId="0" borderId="116" xfId="0" applyNumberFormat="1" applyFont="1" applyFill="1" applyBorder="1" applyAlignment="1">
      <alignment horizontal="center" vertical="center"/>
    </xf>
    <xf numFmtId="0" fontId="2" fillId="0" borderId="0" xfId="1347" applyBorder="1" applyAlignment="1">
      <alignment horizontal="left"/>
    </xf>
    <xf numFmtId="166" fontId="205" fillId="0" borderId="0" xfId="1358" applyNumberFormat="1" applyFont="1" applyFill="1" applyBorder="1" applyAlignment="1">
      <alignment horizontal="right"/>
    </xf>
    <xf numFmtId="0" fontId="200" fillId="42" borderId="167" xfId="1347" applyFont="1" applyFill="1" applyBorder="1" applyAlignment="1">
      <alignment horizontal="center"/>
    </xf>
    <xf numFmtId="0" fontId="200" fillId="42" borderId="168" xfId="1347" applyFont="1" applyFill="1" applyBorder="1" applyAlignment="1">
      <alignment horizontal="center"/>
    </xf>
    <xf numFmtId="0" fontId="200" fillId="42" borderId="169" xfId="1347" applyFont="1" applyFill="1" applyBorder="1" applyAlignment="1">
      <alignment horizontal="center"/>
    </xf>
    <xf numFmtId="0" fontId="2" fillId="0" borderId="171" xfId="1347" applyBorder="1" applyAlignment="1">
      <alignment horizontal="left"/>
    </xf>
    <xf numFmtId="0" fontId="2" fillId="0" borderId="165" xfId="1347" applyBorder="1" applyAlignment="1">
      <alignment horizontal="left"/>
    </xf>
    <xf numFmtId="166" fontId="205" fillId="0" borderId="166" xfId="1358" applyNumberFormat="1" applyFont="1" applyFill="1" applyBorder="1" applyAlignment="1">
      <alignment horizontal="right"/>
    </xf>
    <xf numFmtId="0" fontId="2" fillId="37" borderId="0" xfId="1347" applyFill="1" applyBorder="1"/>
    <xf numFmtId="0" fontId="194" fillId="39" borderId="167" xfId="0" applyFont="1" applyFill="1" applyBorder="1" applyAlignment="1">
      <alignment horizontal="center" vertical="center"/>
    </xf>
    <xf numFmtId="0" fontId="194" fillId="39" borderId="168" xfId="0" applyFont="1" applyFill="1" applyBorder="1" applyAlignment="1">
      <alignment horizontal="center" vertical="center"/>
    </xf>
    <xf numFmtId="0" fontId="194" fillId="39" borderId="169" xfId="0" applyFont="1" applyFill="1" applyBorder="1" applyAlignment="1">
      <alignment horizontal="center" vertical="center"/>
    </xf>
    <xf numFmtId="0" fontId="204" fillId="0" borderId="176" xfId="0" applyFont="1" applyBorder="1" applyAlignment="1">
      <alignment horizontal="center" vertical="center" wrapText="1"/>
    </xf>
    <xf numFmtId="0" fontId="204" fillId="43" borderId="177" xfId="0" applyFont="1" applyFill="1" applyBorder="1" applyAlignment="1">
      <alignment horizontal="center" vertical="center" wrapText="1"/>
    </xf>
    <xf numFmtId="14" fontId="175" fillId="43" borderId="121" xfId="0" applyNumberFormat="1" applyFont="1" applyFill="1" applyBorder="1" applyAlignment="1">
      <alignment horizontal="center" vertical="center"/>
    </xf>
    <xf numFmtId="14" fontId="175" fillId="43" borderId="125" xfId="0" applyNumberFormat="1" applyFont="1" applyFill="1" applyBorder="1" applyAlignment="1">
      <alignment horizontal="center" vertical="center"/>
    </xf>
  </cellXfs>
  <cellStyles count="1361">
    <cellStyle name="$ 0 decimal" xfId="131" xr:uid="{00000000-0005-0000-0000-00009F020000}"/>
    <cellStyle name="$ 1 decimal" xfId="132" xr:uid="{00000000-0005-0000-0000-0000A0020000}"/>
    <cellStyle name="$ 2 decimals" xfId="133" xr:uid="{00000000-0005-0000-0000-0000A1020000}"/>
    <cellStyle name="_%(SignOnly)" xfId="134" xr:uid="{00000000-0005-0000-0000-000000000000}"/>
    <cellStyle name="_%(SignSpaceOnly)" xfId="135" xr:uid="{00000000-0005-0000-0000-000001000000}"/>
    <cellStyle name="_%(SignSpaceOnly)_ControlTables" xfId="136" xr:uid="{00000000-0005-0000-0000-000002000000}"/>
    <cellStyle name="_%(SignSpaceOnly)_ControlTablesI" xfId="137" xr:uid="{00000000-0005-0000-0000-000003000000}"/>
    <cellStyle name="_%(SignSpaceOnly)_Database - Comparables" xfId="138" xr:uid="{00000000-0005-0000-0000-000004000000}"/>
    <cellStyle name="_%(SignSpaceOnly)_DB_Eye" xfId="139" xr:uid="{00000000-0005-0000-0000-000005000000}"/>
    <cellStyle name="_%(SignSpaceOnly)_Exec Summary" xfId="140" xr:uid="{00000000-0005-0000-0000-000006000000}"/>
    <cellStyle name="_%(SignSpaceOnly)_Exec Summary_1" xfId="141" xr:uid="{00000000-0005-0000-0000-000007000000}"/>
    <cellStyle name="_%(SignSpaceOnly)_Sheet1" xfId="142" xr:uid="{00000000-0005-0000-0000-000008000000}"/>
    <cellStyle name="_ARI Base Case July 25 TPS1" xfId="143" xr:uid="{00000000-0005-0000-0000-000009000000}"/>
    <cellStyle name="_Comma" xfId="144" xr:uid="{00000000-0005-0000-0000-00000A000000}"/>
    <cellStyle name="_Comma_3-Yr Eyechart" xfId="145" xr:uid="{00000000-0005-0000-0000-00000B000000}"/>
    <cellStyle name="_Comma_Asset Comparisons" xfId="146" xr:uid="{00000000-0005-0000-0000-00000C000000}"/>
    <cellStyle name="_Comma_Balance Sheet" xfId="147" xr:uid="{00000000-0005-0000-0000-00000D000000}"/>
    <cellStyle name="_Comma_Balance Sheet_ControlTables" xfId="148" xr:uid="{00000000-0005-0000-0000-00000E000000}"/>
    <cellStyle name="_Comma_Balance Sheet_ControlTablesI" xfId="149" xr:uid="{00000000-0005-0000-0000-00000F000000}"/>
    <cellStyle name="_Comma_Balance Sheet_Database - Comparables" xfId="150" xr:uid="{00000000-0005-0000-0000-000010000000}"/>
    <cellStyle name="_Comma_Balance Sheet_DB_Eye" xfId="151" xr:uid="{00000000-0005-0000-0000-000011000000}"/>
    <cellStyle name="_Comma_Balance Sheet_Exec Summary" xfId="152" xr:uid="{00000000-0005-0000-0000-000012000000}"/>
    <cellStyle name="_Comma_Balance Sheet_Existing Debt" xfId="153" xr:uid="{00000000-0005-0000-0000-000013000000}"/>
    <cellStyle name="_Comma_Balance Sheet_Kor-Port_LEQ_6-10-04_CR_Final-Struct_FINAL" xfId="154" xr:uid="{00000000-0005-0000-0000-000014000000}"/>
    <cellStyle name="_Comma_Balance Sheet_Mallard's_Landing_LEQ_8-17-04" xfId="155" xr:uid="{00000000-0005-0000-0000-000015000000}"/>
    <cellStyle name="_Comma_Balance Sheet_Quick Property Input" xfId="156" xr:uid="{00000000-0005-0000-0000-000016000000}"/>
    <cellStyle name="_Comma_Balance Sheet_Sheet1" xfId="157" xr:uid="{00000000-0005-0000-0000-000017000000}"/>
    <cellStyle name="_Comma_Balance Sheet_Sheet1_Data Tape" xfId="158" xr:uid="{00000000-0005-0000-0000-000018000000}"/>
    <cellStyle name="_Comma_Balance Sheet_Sheet1_Deal Assumptions" xfId="159" xr:uid="{00000000-0005-0000-0000-000019000000}"/>
    <cellStyle name="_Comma_Balance Sheet_Sheet1_RE Valuation 2" xfId="160" xr:uid="{00000000-0005-0000-0000-00001A000000}"/>
    <cellStyle name="_Comma_Balance Sheet_Sheet2" xfId="161" xr:uid="{00000000-0005-0000-0000-00001B000000}"/>
    <cellStyle name="_Comma_ControlTables" xfId="162" xr:uid="{00000000-0005-0000-0000-00001C000000}"/>
    <cellStyle name="_Comma_ControlTablesI" xfId="163" xr:uid="{00000000-0005-0000-0000-00001D000000}"/>
    <cellStyle name="_Comma_Cost Of Funds" xfId="164" xr:uid="{00000000-0005-0000-0000-00001E000000}"/>
    <cellStyle name="_Comma_Criteria" xfId="165" xr:uid="{00000000-0005-0000-0000-00001F000000}"/>
    <cellStyle name="_Comma_Criteria Test Export" xfId="166" xr:uid="{00000000-0005-0000-0000-000020000000}"/>
    <cellStyle name="_Comma_Criteria_ControlTables" xfId="167" xr:uid="{00000000-0005-0000-0000-000021000000}"/>
    <cellStyle name="_Comma_Criteria_ControlTablesI" xfId="168" xr:uid="{00000000-0005-0000-0000-000022000000}"/>
    <cellStyle name="_Comma_Criteria_Database - Comparables" xfId="169" xr:uid="{00000000-0005-0000-0000-000023000000}"/>
    <cellStyle name="_Comma_Criteria_DB_Eye" xfId="170" xr:uid="{00000000-0005-0000-0000-000024000000}"/>
    <cellStyle name="_Comma_Criteria_Exec Summary" xfId="171" xr:uid="{00000000-0005-0000-0000-000025000000}"/>
    <cellStyle name="_Comma_Criteria_Existing Debt" xfId="172" xr:uid="{00000000-0005-0000-0000-000026000000}"/>
    <cellStyle name="_Comma_Criteria_Kor-Port_LEQ_6-10-04_CR_Final-Struct_FINAL" xfId="173" xr:uid="{00000000-0005-0000-0000-000027000000}"/>
    <cellStyle name="_Comma_Criteria_Mallard's_Landing_LEQ_8-17-04" xfId="174" xr:uid="{00000000-0005-0000-0000-000028000000}"/>
    <cellStyle name="_Comma_Criteria_Quick Property Input" xfId="175" xr:uid="{00000000-0005-0000-0000-000029000000}"/>
    <cellStyle name="_Comma_Criteria_Sheet1" xfId="176" xr:uid="{00000000-0005-0000-0000-00002A000000}"/>
    <cellStyle name="_Comma_Criteria_Sheet1_Data Tape" xfId="177" xr:uid="{00000000-0005-0000-0000-00002B000000}"/>
    <cellStyle name="_Comma_Criteria_Sheet1_Deal Assumptions" xfId="178" xr:uid="{00000000-0005-0000-0000-00002C000000}"/>
    <cellStyle name="_Comma_Criteria_Sheet1_RE Valuation 2" xfId="179" xr:uid="{00000000-0005-0000-0000-00002D000000}"/>
    <cellStyle name="_Comma_Criteria_Sheet2" xfId="180" xr:uid="{00000000-0005-0000-0000-00002E000000}"/>
    <cellStyle name="_Comma_Data Tape" xfId="181" xr:uid="{00000000-0005-0000-0000-00002F000000}"/>
    <cellStyle name="_Comma_Data Tape_1" xfId="182" xr:uid="{00000000-0005-0000-0000-000030000000}"/>
    <cellStyle name="_Comma_Data Tape_ControlTables" xfId="183" xr:uid="{00000000-0005-0000-0000-000031000000}"/>
    <cellStyle name="_Comma_Data Tape_ControlTablesI" xfId="184" xr:uid="{00000000-0005-0000-0000-000032000000}"/>
    <cellStyle name="_Comma_Data Tape_Database - Comparables" xfId="185" xr:uid="{00000000-0005-0000-0000-000033000000}"/>
    <cellStyle name="_Comma_Data Tape_DB_Eye" xfId="186" xr:uid="{00000000-0005-0000-0000-000034000000}"/>
    <cellStyle name="_Comma_Data Tape_Exec Summary" xfId="187" xr:uid="{00000000-0005-0000-0000-000035000000}"/>
    <cellStyle name="_Comma_Data Tape_Existing Debt" xfId="188" xr:uid="{00000000-0005-0000-0000-000036000000}"/>
    <cellStyle name="_Comma_Data Tape_Kor-Port_LEQ_6-10-04_CR_Final-Struct_FINAL" xfId="189" xr:uid="{00000000-0005-0000-0000-000037000000}"/>
    <cellStyle name="_Comma_Data Tape_Mallard's_Landing_LEQ_8-17-04" xfId="190" xr:uid="{00000000-0005-0000-0000-000038000000}"/>
    <cellStyle name="_Comma_Data Tape_Quick Property Input" xfId="191" xr:uid="{00000000-0005-0000-0000-000039000000}"/>
    <cellStyle name="_Comma_Data Tape_Sheet1" xfId="192" xr:uid="{00000000-0005-0000-0000-00003A000000}"/>
    <cellStyle name="_Comma_Data Tape_Sheet1_Data Tape" xfId="193" xr:uid="{00000000-0005-0000-0000-00003B000000}"/>
    <cellStyle name="_Comma_Data Tape_Sheet1_Deal Assumptions" xfId="194" xr:uid="{00000000-0005-0000-0000-00003C000000}"/>
    <cellStyle name="_Comma_Data Tape_Sheet1_RE Valuation 2" xfId="195" xr:uid="{00000000-0005-0000-0000-00003D000000}"/>
    <cellStyle name="_Comma_Data Tape_Sheet2" xfId="196" xr:uid="{00000000-0005-0000-0000-00003E000000}"/>
    <cellStyle name="_Comma_Data_Tape" xfId="197" xr:uid="{00000000-0005-0000-0000-00003F000000}"/>
    <cellStyle name="_Comma_Database - Comparables" xfId="198" xr:uid="{00000000-0005-0000-0000-000040000000}"/>
    <cellStyle name="_Comma_Database - Economics" xfId="199" xr:uid="{00000000-0005-0000-0000-000041000000}"/>
    <cellStyle name="_Comma_DB Eye" xfId="200" xr:uid="{00000000-0005-0000-0000-000042000000}"/>
    <cellStyle name="_Comma_DB_Eye" xfId="201" xr:uid="{00000000-0005-0000-0000-000043000000}"/>
    <cellStyle name="_Comma_Deal Input" xfId="202" xr:uid="{00000000-0005-0000-0000-000044000000}"/>
    <cellStyle name="_Comma_Direct Cap Eye" xfId="203" xr:uid="{00000000-0005-0000-0000-000045000000}"/>
    <cellStyle name="_Comma_DPEM2005_vBetatest6" xfId="204" xr:uid="{00000000-0005-0000-0000-000046000000}"/>
    <cellStyle name="_Comma_ETR" xfId="205" xr:uid="{00000000-0005-0000-0000-000047000000}"/>
    <cellStyle name="_Comma_Exec Summary" xfId="206" xr:uid="{00000000-0005-0000-0000-000048000000}"/>
    <cellStyle name="_Comma_Existing Debt" xfId="207" xr:uid="{00000000-0005-0000-0000-000049000000}"/>
    <cellStyle name="_Comma_EyeChart" xfId="208" xr:uid="{00000000-0005-0000-0000-00004A000000}"/>
    <cellStyle name="_Comma_EyeChart 090503" xfId="209" xr:uid="{00000000-0005-0000-0000-00004B000000}"/>
    <cellStyle name="_Comma_Input" xfId="210" xr:uid="{00000000-0005-0000-0000-00004C000000}"/>
    <cellStyle name="_Comma_Input_1" xfId="211" xr:uid="{00000000-0005-0000-0000-00004D000000}"/>
    <cellStyle name="_Comma_Input_ControlTables" xfId="212" xr:uid="{00000000-0005-0000-0000-00004E000000}"/>
    <cellStyle name="_Comma_Input_ControlTablesI" xfId="213" xr:uid="{00000000-0005-0000-0000-00004F000000}"/>
    <cellStyle name="_Comma_Input_Data Tape" xfId="214" xr:uid="{00000000-0005-0000-0000-000050000000}"/>
    <cellStyle name="_Comma_Input_Database - Comparables" xfId="215" xr:uid="{00000000-0005-0000-0000-000051000000}"/>
    <cellStyle name="_Comma_Input_Database - Economics" xfId="216" xr:uid="{00000000-0005-0000-0000-000052000000}"/>
    <cellStyle name="_Comma_Input_DB_Eye" xfId="217" xr:uid="{00000000-0005-0000-0000-000053000000}"/>
    <cellStyle name="_Comma_Input_Exec Summary" xfId="218" xr:uid="{00000000-0005-0000-0000-000054000000}"/>
    <cellStyle name="_Comma_Input_Existing Debt" xfId="219" xr:uid="{00000000-0005-0000-0000-000055000000}"/>
    <cellStyle name="_Comma_Input_Kor-Port_LEQ_6-10-04_CR_Final-Struct_FINAL" xfId="220" xr:uid="{00000000-0005-0000-0000-000056000000}"/>
    <cellStyle name="_Comma_Input_Mallard's_Landing_LEQ_8-17-04" xfId="221" xr:uid="{00000000-0005-0000-0000-000057000000}"/>
    <cellStyle name="_Comma_Input_Quick Property Input" xfId="222" xr:uid="{00000000-0005-0000-0000-000058000000}"/>
    <cellStyle name="_Comma_Input_Sheet1" xfId="223" xr:uid="{00000000-0005-0000-0000-000059000000}"/>
    <cellStyle name="_Comma_Input_Sheet1_Data Tape" xfId="224" xr:uid="{00000000-0005-0000-0000-00005A000000}"/>
    <cellStyle name="_Comma_Input_Sheet1_Deal Assumptions" xfId="225" xr:uid="{00000000-0005-0000-0000-00005B000000}"/>
    <cellStyle name="_Comma_Input_Sheet1_RE Valuation 2" xfId="226" xr:uid="{00000000-0005-0000-0000-00005C000000}"/>
    <cellStyle name="_Comma_Input_Sheet2" xfId="227" xr:uid="{00000000-0005-0000-0000-00005D000000}"/>
    <cellStyle name="_Comma_JV Economics" xfId="228" xr:uid="{00000000-0005-0000-0000-00005E000000}"/>
    <cellStyle name="_Comma_M&amp;A Feed" xfId="229" xr:uid="{00000000-0005-0000-0000-00005F000000}"/>
    <cellStyle name="_Comma_NPV Case Eyechart" xfId="230" xr:uid="{00000000-0005-0000-0000-000060000000}"/>
    <cellStyle name="_Comma_Pools" xfId="231" xr:uid="{00000000-0005-0000-0000-000061000000}"/>
    <cellStyle name="_Comma_Pools_1" xfId="232" xr:uid="{00000000-0005-0000-0000-000062000000}"/>
    <cellStyle name="_Comma_Portfolio Valuation" xfId="233" xr:uid="{00000000-0005-0000-0000-000063000000}"/>
    <cellStyle name="_Comma_Pricing" xfId="234" xr:uid="{00000000-0005-0000-0000-000064000000}"/>
    <cellStyle name="_Comma_Prop 13" xfId="235" xr:uid="{00000000-0005-0000-0000-000065000000}"/>
    <cellStyle name="_Comma_Prop 13 Data" xfId="236" xr:uid="{00000000-0005-0000-0000-000066000000}"/>
    <cellStyle name="_Comma_Prop 13 Summary-11-10" xfId="237" xr:uid="{00000000-0005-0000-0000-000067000000}"/>
    <cellStyle name="_Comma_Property Assumptions" xfId="238" xr:uid="{00000000-0005-0000-0000-000068000000}"/>
    <cellStyle name="_Comma_Property Assumptions_1" xfId="239" xr:uid="{00000000-0005-0000-0000-000069000000}"/>
    <cellStyle name="_Comma_Quick Property Input" xfId="240" xr:uid="{00000000-0005-0000-0000-00006A000000}"/>
    <cellStyle name="_Comma_Senario Input Assumptions" xfId="241" xr:uid="{00000000-0005-0000-0000-00006B000000}"/>
    <cellStyle name="_Comma_Senario Input Assumptions_ControlTables" xfId="242" xr:uid="{00000000-0005-0000-0000-00006C000000}"/>
    <cellStyle name="_Comma_Senario Input Assumptions_ControlTablesI" xfId="243" xr:uid="{00000000-0005-0000-0000-00006D000000}"/>
    <cellStyle name="_Comma_Senario Input Assumptions_Database - Comparables" xfId="244" xr:uid="{00000000-0005-0000-0000-00006E000000}"/>
    <cellStyle name="_Comma_Senario Input Assumptions_DB_Eye" xfId="245" xr:uid="{00000000-0005-0000-0000-00006F000000}"/>
    <cellStyle name="_Comma_Senario Input Assumptions_Exec Summary" xfId="246" xr:uid="{00000000-0005-0000-0000-000070000000}"/>
    <cellStyle name="_Comma_Senario Input Assumptions_Existing Debt" xfId="247" xr:uid="{00000000-0005-0000-0000-000071000000}"/>
    <cellStyle name="_Comma_Senario Input Assumptions_Kor-Port_LEQ_6-10-04_CR_Final-Struct_FINAL" xfId="248" xr:uid="{00000000-0005-0000-0000-000072000000}"/>
    <cellStyle name="_Comma_Senario Input Assumptions_Mallard's_Landing_LEQ_8-17-04" xfId="249" xr:uid="{00000000-0005-0000-0000-000073000000}"/>
    <cellStyle name="_Comma_Senario Input Assumptions_Quick Property Input" xfId="250" xr:uid="{00000000-0005-0000-0000-000074000000}"/>
    <cellStyle name="_Comma_Senario Input Assumptions_Sheet1" xfId="251" xr:uid="{00000000-0005-0000-0000-000075000000}"/>
    <cellStyle name="_Comma_Senario Input Assumptions_Sheet1_Data Tape" xfId="252" xr:uid="{00000000-0005-0000-0000-000076000000}"/>
    <cellStyle name="_Comma_Senario Input Assumptions_Sheet1_Deal Assumptions" xfId="253" xr:uid="{00000000-0005-0000-0000-000077000000}"/>
    <cellStyle name="_Comma_Senario Input Assumptions_Sheet1_RE Valuation 2" xfId="254" xr:uid="{00000000-0005-0000-0000-000078000000}"/>
    <cellStyle name="_Comma_Senario Input Assumptions_Sheet2" xfId="255" xr:uid="{00000000-0005-0000-0000-000079000000}"/>
    <cellStyle name="_Comma_Sheet1" xfId="256" xr:uid="{00000000-0005-0000-0000-00007A000000}"/>
    <cellStyle name="_Comma_Sheet1_1" xfId="257" xr:uid="{00000000-0005-0000-0000-00007B000000}"/>
    <cellStyle name="_Comma_Sheet1_3-Yr Eyechart" xfId="258" xr:uid="{00000000-0005-0000-0000-00007C000000}"/>
    <cellStyle name="_Comma_Sheet1_Balance Sheet" xfId="259" xr:uid="{00000000-0005-0000-0000-00007D000000}"/>
    <cellStyle name="_Comma_Sheet1_Cost Of Funds" xfId="260" xr:uid="{00000000-0005-0000-0000-00007E000000}"/>
    <cellStyle name="_Comma_Sheet1_Criteria" xfId="261" xr:uid="{00000000-0005-0000-0000-00007F000000}"/>
    <cellStyle name="_Comma_Sheet1_Criteria Test Export" xfId="262" xr:uid="{00000000-0005-0000-0000-000080000000}"/>
    <cellStyle name="_Comma_Sheet1_Data Tape" xfId="263" xr:uid="{00000000-0005-0000-0000-000081000000}"/>
    <cellStyle name="_Comma_Sheet1_Data Tape_1" xfId="264" xr:uid="{00000000-0005-0000-0000-000082000000}"/>
    <cellStyle name="_Comma_Sheet1_Data_Tape" xfId="265" xr:uid="{00000000-0005-0000-0000-000083000000}"/>
    <cellStyle name="_Comma_Sheet1_Data_Tape_ControlTables" xfId="266" xr:uid="{00000000-0005-0000-0000-000084000000}"/>
    <cellStyle name="_Comma_Sheet1_Data_Tape_ControlTablesI" xfId="267" xr:uid="{00000000-0005-0000-0000-000085000000}"/>
    <cellStyle name="_Comma_Sheet1_Data_Tape_Database - Comparables" xfId="268" xr:uid="{00000000-0005-0000-0000-000086000000}"/>
    <cellStyle name="_Comma_Sheet1_Data_Tape_DB_Eye" xfId="269" xr:uid="{00000000-0005-0000-0000-000087000000}"/>
    <cellStyle name="_Comma_Sheet1_Data_Tape_Exec Summary" xfId="270" xr:uid="{00000000-0005-0000-0000-000088000000}"/>
    <cellStyle name="_Comma_Sheet1_Data_Tape_Existing Debt" xfId="271" xr:uid="{00000000-0005-0000-0000-000089000000}"/>
    <cellStyle name="_Comma_Sheet1_Data_Tape_Kor-Port_LEQ_6-10-04_CR_Final-Struct_FINAL" xfId="272" xr:uid="{00000000-0005-0000-0000-00008A000000}"/>
    <cellStyle name="_Comma_Sheet1_Data_Tape_Mallard's_Landing_LEQ_8-17-04" xfId="273" xr:uid="{00000000-0005-0000-0000-00008B000000}"/>
    <cellStyle name="_Comma_Sheet1_Data_Tape_Quick Property Input" xfId="274" xr:uid="{00000000-0005-0000-0000-00008C000000}"/>
    <cellStyle name="_Comma_Sheet1_Data_Tape_Sheet1" xfId="275" xr:uid="{00000000-0005-0000-0000-00008D000000}"/>
    <cellStyle name="_Comma_Sheet1_Data_Tape_Sheet1_Data Tape" xfId="276" xr:uid="{00000000-0005-0000-0000-00008E000000}"/>
    <cellStyle name="_Comma_Sheet1_Data_Tape_Sheet1_Deal Assumptions" xfId="277" xr:uid="{00000000-0005-0000-0000-00008F000000}"/>
    <cellStyle name="_Comma_Sheet1_Data_Tape_Sheet1_RE Valuation 2" xfId="278" xr:uid="{00000000-0005-0000-0000-000090000000}"/>
    <cellStyle name="_Comma_Sheet1_Data_Tape_Sheet2" xfId="279" xr:uid="{00000000-0005-0000-0000-000091000000}"/>
    <cellStyle name="_Comma_Sheet1_Database - Economics" xfId="280" xr:uid="{00000000-0005-0000-0000-000092000000}"/>
    <cellStyle name="_Comma_Sheet1_Deal Input" xfId="281" xr:uid="{00000000-0005-0000-0000-000093000000}"/>
    <cellStyle name="_Comma_Sheet1_Direct Cap Eye" xfId="282" xr:uid="{00000000-0005-0000-0000-000094000000}"/>
    <cellStyle name="_Comma_Sheet1_DPEM2005_vBetatest6" xfId="283" xr:uid="{00000000-0005-0000-0000-000095000000}"/>
    <cellStyle name="_Comma_Sheet1_ETR" xfId="284" xr:uid="{00000000-0005-0000-0000-000096000000}"/>
    <cellStyle name="_Comma_Sheet1_Existing Debt" xfId="285" xr:uid="{00000000-0005-0000-0000-000097000000}"/>
    <cellStyle name="_Comma_Sheet1_Input" xfId="286" xr:uid="{00000000-0005-0000-0000-000098000000}"/>
    <cellStyle name="_Comma_Sheet1_Input_1" xfId="287" xr:uid="{00000000-0005-0000-0000-000099000000}"/>
    <cellStyle name="_Comma_Sheet1_Input_Data Tape" xfId="288" xr:uid="{00000000-0005-0000-0000-00009A000000}"/>
    <cellStyle name="_Comma_Sheet1_Input_Database - Economics" xfId="289" xr:uid="{00000000-0005-0000-0000-00009B000000}"/>
    <cellStyle name="_Comma_Sheet1_M&amp;A Feed" xfId="290" xr:uid="{00000000-0005-0000-0000-00009C000000}"/>
    <cellStyle name="_Comma_Sheet1_NPV Case Eyechart" xfId="291" xr:uid="{00000000-0005-0000-0000-00009D000000}"/>
    <cellStyle name="_Comma_Sheet1_Pools" xfId="292" xr:uid="{00000000-0005-0000-0000-00009E000000}"/>
    <cellStyle name="_Comma_Sheet1_Pools_1" xfId="293" xr:uid="{00000000-0005-0000-0000-00009F000000}"/>
    <cellStyle name="_Comma_Sheet1_Pools_ControlTables" xfId="294" xr:uid="{00000000-0005-0000-0000-0000A0000000}"/>
    <cellStyle name="_Comma_Sheet1_Pools_ControlTablesI" xfId="295" xr:uid="{00000000-0005-0000-0000-0000A1000000}"/>
    <cellStyle name="_Comma_Sheet1_Pools_Database - Comparables" xfId="296" xr:uid="{00000000-0005-0000-0000-0000A2000000}"/>
    <cellStyle name="_Comma_Sheet1_Pools_DB_Eye" xfId="297" xr:uid="{00000000-0005-0000-0000-0000A3000000}"/>
    <cellStyle name="_Comma_Sheet1_Pools_Exec Summary" xfId="298" xr:uid="{00000000-0005-0000-0000-0000A4000000}"/>
    <cellStyle name="_Comma_Sheet1_Pools_Existing Debt" xfId="299" xr:uid="{00000000-0005-0000-0000-0000A5000000}"/>
    <cellStyle name="_Comma_Sheet1_Pools_Kor-Port_LEQ_6-10-04_CR_Final-Struct_FINAL" xfId="300" xr:uid="{00000000-0005-0000-0000-0000A6000000}"/>
    <cellStyle name="_Comma_Sheet1_Pools_Mallard's_Landing_LEQ_8-17-04" xfId="301" xr:uid="{00000000-0005-0000-0000-0000A7000000}"/>
    <cellStyle name="_Comma_Sheet1_Pools_Quick Property Input" xfId="302" xr:uid="{00000000-0005-0000-0000-0000A8000000}"/>
    <cellStyle name="_Comma_Sheet1_Pools_Sheet1" xfId="303" xr:uid="{00000000-0005-0000-0000-0000A9000000}"/>
    <cellStyle name="_Comma_Sheet1_Pools_Sheet1_Data Tape" xfId="304" xr:uid="{00000000-0005-0000-0000-0000AA000000}"/>
    <cellStyle name="_Comma_Sheet1_Pools_Sheet1_Deal Assumptions" xfId="305" xr:uid="{00000000-0005-0000-0000-0000AB000000}"/>
    <cellStyle name="_Comma_Sheet1_Pools_Sheet1_RE Valuation 2" xfId="306" xr:uid="{00000000-0005-0000-0000-0000AC000000}"/>
    <cellStyle name="_Comma_Sheet1_Pools_Sheet2" xfId="307" xr:uid="{00000000-0005-0000-0000-0000AD000000}"/>
    <cellStyle name="_Comma_Sheet1_Portfolio Valuation" xfId="308" xr:uid="{00000000-0005-0000-0000-0000AE000000}"/>
    <cellStyle name="_Comma_Sheet1_Prop 13" xfId="309" xr:uid="{00000000-0005-0000-0000-0000AF000000}"/>
    <cellStyle name="_Comma_Sheet1_Prop 13 Data" xfId="310" xr:uid="{00000000-0005-0000-0000-0000B0000000}"/>
    <cellStyle name="_Comma_Sheet1_Prop 13 Summary-11-10" xfId="311" xr:uid="{00000000-0005-0000-0000-0000B1000000}"/>
    <cellStyle name="_Comma_Sheet1_Property Assumptions" xfId="312" xr:uid="{00000000-0005-0000-0000-0000B2000000}"/>
    <cellStyle name="_Comma_Sheet1_Property Assumptions_1" xfId="313" xr:uid="{00000000-0005-0000-0000-0000B3000000}"/>
    <cellStyle name="_Comma_Sheet1_Quick Property Input" xfId="314" xr:uid="{00000000-0005-0000-0000-0000B4000000}"/>
    <cellStyle name="_Comma_Sheet1_Senario Input Assumptions" xfId="315" xr:uid="{00000000-0005-0000-0000-0000B5000000}"/>
    <cellStyle name="_Comma_Sheet1_Sheet1" xfId="316" xr:uid="{00000000-0005-0000-0000-0000B6000000}"/>
    <cellStyle name="_Comma_Sheet1_Sheet2" xfId="317" xr:uid="{00000000-0005-0000-0000-0000B7000000}"/>
    <cellStyle name="_Comma_Sheet1_Sheet2_1" xfId="318" xr:uid="{00000000-0005-0000-0000-0000B8000000}"/>
    <cellStyle name="_Comma_Sheet1_Sheet3" xfId="319" xr:uid="{00000000-0005-0000-0000-0000B9000000}"/>
    <cellStyle name="_Comma_Sheet1_Sheet5" xfId="320" xr:uid="{00000000-0005-0000-0000-0000BA000000}"/>
    <cellStyle name="_Comma_Sheet1_Structure Model_2003_test2" xfId="321" xr:uid="{00000000-0005-0000-0000-0000BB000000}"/>
    <cellStyle name="_Comma_Sheet2" xfId="322" xr:uid="{00000000-0005-0000-0000-0000BC000000}"/>
    <cellStyle name="_Comma_Sheet2_1" xfId="323" xr:uid="{00000000-0005-0000-0000-0000BD000000}"/>
    <cellStyle name="_Comma_Sheet3" xfId="324" xr:uid="{00000000-0005-0000-0000-0000BE000000}"/>
    <cellStyle name="_Comma_Sheet3_1" xfId="325" xr:uid="{00000000-0005-0000-0000-0000BF000000}"/>
    <cellStyle name="_Comma_Sheet4" xfId="326" xr:uid="{00000000-0005-0000-0000-0000C0000000}"/>
    <cellStyle name="_Comma_Sheet5" xfId="327" xr:uid="{00000000-0005-0000-0000-0000C1000000}"/>
    <cellStyle name="_Comma_Structure Model_2003_test2" xfId="328" xr:uid="{00000000-0005-0000-0000-0000C2000000}"/>
    <cellStyle name="_Comma_Structure Model_2003_test2_ControlTables" xfId="329" xr:uid="{00000000-0005-0000-0000-0000C3000000}"/>
    <cellStyle name="_Comma_Structure Model_2003_test2_ControlTablesI" xfId="330" xr:uid="{00000000-0005-0000-0000-0000C4000000}"/>
    <cellStyle name="_Comma_Structure Model_2003_test2_Database - Comparables" xfId="331" xr:uid="{00000000-0005-0000-0000-0000C5000000}"/>
    <cellStyle name="_Comma_Structure Model_2003_test2_DB_Eye" xfId="332" xr:uid="{00000000-0005-0000-0000-0000C6000000}"/>
    <cellStyle name="_Comma_Structure Model_2003_test2_Exec Summary" xfId="333" xr:uid="{00000000-0005-0000-0000-0000C7000000}"/>
    <cellStyle name="_Comma_Structure Model_2003_test2_Existing Debt" xfId="334" xr:uid="{00000000-0005-0000-0000-0000C8000000}"/>
    <cellStyle name="_Comma_Structure Model_2003_test2_Kor-Port_LEQ_6-10-04_CR_Final-Struct_FINAL" xfId="335" xr:uid="{00000000-0005-0000-0000-0000C9000000}"/>
    <cellStyle name="_Comma_Structure Model_2003_test2_Mallard's_Landing_LEQ_8-17-04" xfId="336" xr:uid="{00000000-0005-0000-0000-0000CA000000}"/>
    <cellStyle name="_Comma_Structure Model_2003_test2_Quick Property Input" xfId="337" xr:uid="{00000000-0005-0000-0000-0000CB000000}"/>
    <cellStyle name="_Comma_Structure Model_2003_test2_Sheet1" xfId="338" xr:uid="{00000000-0005-0000-0000-0000CC000000}"/>
    <cellStyle name="_Comma_Structure Model_2003_test2_Sheet1_Data Tape" xfId="339" xr:uid="{00000000-0005-0000-0000-0000CD000000}"/>
    <cellStyle name="_Comma_Structure Model_2003_test2_Sheet1_Deal Assumptions" xfId="340" xr:uid="{00000000-0005-0000-0000-0000CE000000}"/>
    <cellStyle name="_Comma_Structure Model_2003_test2_Sheet1_RE Valuation 2" xfId="341" xr:uid="{00000000-0005-0000-0000-0000CF000000}"/>
    <cellStyle name="_Comma_Structure Model_2003_test2_Sheet2" xfId="342" xr:uid="{00000000-0005-0000-0000-0000D0000000}"/>
    <cellStyle name="_Currency" xfId="343" xr:uid="{00000000-0005-0000-0000-0000D1000000}"/>
    <cellStyle name="_Currency_03-05-31 Final OBS Reports" xfId="344" xr:uid="{00000000-0005-0000-0000-0000D2000000}"/>
    <cellStyle name="_Currency_3-Yr Eyechart" xfId="345" xr:uid="{00000000-0005-0000-0000-0000D3000000}"/>
    <cellStyle name="_Currency_Alamosa Standalone6" xfId="346" xr:uid="{00000000-0005-0000-0000-0000D4000000}"/>
    <cellStyle name="_Currency_ARI Base Case July 25 TPS1" xfId="347" xr:uid="{00000000-0005-0000-0000-0000D5000000}"/>
    <cellStyle name="_Currency_Balance Sheet" xfId="348" xr:uid="{00000000-0005-0000-0000-0000D6000000}"/>
    <cellStyle name="_Currency_Balance Sheet_ControlTables" xfId="349" xr:uid="{00000000-0005-0000-0000-0000D7000000}"/>
    <cellStyle name="_Currency_Balance Sheet_ControlTablesI" xfId="350" xr:uid="{00000000-0005-0000-0000-0000D8000000}"/>
    <cellStyle name="_Currency_Balance Sheet_Database - Comparables" xfId="351" xr:uid="{00000000-0005-0000-0000-0000D9000000}"/>
    <cellStyle name="_Currency_Balance Sheet_DB_Eye" xfId="352" xr:uid="{00000000-0005-0000-0000-0000DA000000}"/>
    <cellStyle name="_Currency_Balance Sheet_Exec Summary" xfId="353" xr:uid="{00000000-0005-0000-0000-0000DB000000}"/>
    <cellStyle name="_Currency_Balance Sheet_Exec Summary_1" xfId="354" xr:uid="{00000000-0005-0000-0000-0000DC000000}"/>
    <cellStyle name="_Currency_Balance Sheet_Sheet1" xfId="355" xr:uid="{00000000-0005-0000-0000-0000DD000000}"/>
    <cellStyle name="_Currency_ControlTables" xfId="356" xr:uid="{00000000-0005-0000-0000-0000DE000000}"/>
    <cellStyle name="_Currency_ControlTablesI" xfId="357" xr:uid="{00000000-0005-0000-0000-0000DF000000}"/>
    <cellStyle name="_Currency_Cost Of Funds" xfId="358" xr:uid="{00000000-0005-0000-0000-0000E0000000}"/>
    <cellStyle name="_Currency_Criteria" xfId="359" xr:uid="{00000000-0005-0000-0000-0000E1000000}"/>
    <cellStyle name="_Currency_Criteria Test Export" xfId="360" xr:uid="{00000000-0005-0000-0000-0000E2000000}"/>
    <cellStyle name="_Currency_Criteria_ControlTables" xfId="361" xr:uid="{00000000-0005-0000-0000-0000E3000000}"/>
    <cellStyle name="_Currency_Criteria_ControlTablesI" xfId="362" xr:uid="{00000000-0005-0000-0000-0000E4000000}"/>
    <cellStyle name="_Currency_Criteria_Database - Comparables" xfId="363" xr:uid="{00000000-0005-0000-0000-0000E5000000}"/>
    <cellStyle name="_Currency_Criteria_DB_Eye" xfId="364" xr:uid="{00000000-0005-0000-0000-0000E6000000}"/>
    <cellStyle name="_Currency_Criteria_Exec Summary" xfId="365" xr:uid="{00000000-0005-0000-0000-0000E7000000}"/>
    <cellStyle name="_Currency_Criteria_Exec Summary_1" xfId="366" xr:uid="{00000000-0005-0000-0000-0000E8000000}"/>
    <cellStyle name="_Currency_Criteria_Sheet1" xfId="367" xr:uid="{00000000-0005-0000-0000-0000E9000000}"/>
    <cellStyle name="_Currency_Data Tape" xfId="368" xr:uid="{00000000-0005-0000-0000-0000EA000000}"/>
    <cellStyle name="_Currency_Data Tape_1" xfId="369" xr:uid="{00000000-0005-0000-0000-0000EB000000}"/>
    <cellStyle name="_Currency_Data Tape_ControlTables" xfId="370" xr:uid="{00000000-0005-0000-0000-0000EC000000}"/>
    <cellStyle name="_Currency_Data Tape_ControlTablesI" xfId="371" xr:uid="{00000000-0005-0000-0000-0000ED000000}"/>
    <cellStyle name="_Currency_Data Tape_Database - Comparables" xfId="372" xr:uid="{00000000-0005-0000-0000-0000EE000000}"/>
    <cellStyle name="_Currency_Data Tape_DB_Eye" xfId="373" xr:uid="{00000000-0005-0000-0000-0000EF000000}"/>
    <cellStyle name="_Currency_Data Tape_Exec Summary" xfId="374" xr:uid="{00000000-0005-0000-0000-0000F0000000}"/>
    <cellStyle name="_Currency_Data Tape_Exec Summary_1" xfId="375" xr:uid="{00000000-0005-0000-0000-0000F1000000}"/>
    <cellStyle name="_Currency_Data Tape_Sheet1" xfId="376" xr:uid="{00000000-0005-0000-0000-0000F2000000}"/>
    <cellStyle name="_Currency_Data_Tape" xfId="377" xr:uid="{00000000-0005-0000-0000-0000F3000000}"/>
    <cellStyle name="_Currency_Data_Tape_ControlTables" xfId="378" xr:uid="{00000000-0005-0000-0000-0000F4000000}"/>
    <cellStyle name="_Currency_Data_Tape_ControlTablesI" xfId="379" xr:uid="{00000000-0005-0000-0000-0000F5000000}"/>
    <cellStyle name="_Currency_Data_Tape_Database - Comparables" xfId="380" xr:uid="{00000000-0005-0000-0000-0000F6000000}"/>
    <cellStyle name="_Currency_Data_Tape_DB_Eye" xfId="381" xr:uid="{00000000-0005-0000-0000-0000F7000000}"/>
    <cellStyle name="_Currency_Data_Tape_Exec Summary" xfId="382" xr:uid="{00000000-0005-0000-0000-0000F8000000}"/>
    <cellStyle name="_Currency_Data_Tape_Exec Summary_1" xfId="383" xr:uid="{00000000-0005-0000-0000-0000F9000000}"/>
    <cellStyle name="_Currency_Data_Tape_Sheet1" xfId="384" xr:uid="{00000000-0005-0000-0000-0000FA000000}"/>
    <cellStyle name="_Currency_Database - Comparables" xfId="385" xr:uid="{00000000-0005-0000-0000-0000FB000000}"/>
    <cellStyle name="_Currency_Database - Economics" xfId="386" xr:uid="{00000000-0005-0000-0000-0000FC000000}"/>
    <cellStyle name="_Currency_DB_Eye" xfId="387" xr:uid="{00000000-0005-0000-0000-0000FD000000}"/>
    <cellStyle name="_Currency_Deal Input" xfId="388" xr:uid="{00000000-0005-0000-0000-0000FE000000}"/>
    <cellStyle name="_Currency_Direct Cap Eye" xfId="389" xr:uid="{00000000-0005-0000-0000-0000FF000000}"/>
    <cellStyle name="_Currency_DPEM2005_vBetatest6" xfId="390" xr:uid="{00000000-0005-0000-0000-000000010000}"/>
    <cellStyle name="_Currency_ETR" xfId="391" xr:uid="{00000000-0005-0000-0000-000001010000}"/>
    <cellStyle name="_Currency_Exec Summary" xfId="392" xr:uid="{00000000-0005-0000-0000-000002010000}"/>
    <cellStyle name="_Currency_Exec Summary_1" xfId="393" xr:uid="{00000000-0005-0000-0000-000003010000}"/>
    <cellStyle name="_Currency_Existing Debt" xfId="394" xr:uid="{00000000-0005-0000-0000-000004010000}"/>
    <cellStyle name="_Currency_Existing Debt_1" xfId="395" xr:uid="{00000000-0005-0000-0000-000005010000}"/>
    <cellStyle name="_Currency_EyeChart" xfId="396" xr:uid="{00000000-0005-0000-0000-000006010000}"/>
    <cellStyle name="_Currency_EyeChart 090503" xfId="397" xr:uid="{00000000-0005-0000-0000-000007010000}"/>
    <cellStyle name="_Currency_GMACCH_Loans_OBS_033103_Final_v2" xfId="398" xr:uid="{00000000-0005-0000-0000-000008010000}"/>
    <cellStyle name="_Currency_Input" xfId="399" xr:uid="{00000000-0005-0000-0000-000009010000}"/>
    <cellStyle name="_Currency_Input_1" xfId="400" xr:uid="{00000000-0005-0000-0000-00000A010000}"/>
    <cellStyle name="_Currency_Input_2" xfId="401" xr:uid="{00000000-0005-0000-0000-00000B010000}"/>
    <cellStyle name="_Currency_Input_ControlTables" xfId="402" xr:uid="{00000000-0005-0000-0000-00000C010000}"/>
    <cellStyle name="_Currency_Input_ControlTablesI" xfId="403" xr:uid="{00000000-0005-0000-0000-00000D010000}"/>
    <cellStyle name="_Currency_Input_Data Tape" xfId="404" xr:uid="{00000000-0005-0000-0000-00000E010000}"/>
    <cellStyle name="_Currency_Input_Database - Comparables" xfId="405" xr:uid="{00000000-0005-0000-0000-00000F010000}"/>
    <cellStyle name="_Currency_Input_Database - Economics" xfId="406" xr:uid="{00000000-0005-0000-0000-000010010000}"/>
    <cellStyle name="_Currency_Input_DB_Eye" xfId="407" xr:uid="{00000000-0005-0000-0000-000011010000}"/>
    <cellStyle name="_Currency_Input_Exec Summary" xfId="408" xr:uid="{00000000-0005-0000-0000-000012010000}"/>
    <cellStyle name="_Currency_Input_Exec Summary_1" xfId="409" xr:uid="{00000000-0005-0000-0000-000013010000}"/>
    <cellStyle name="_Currency_Input_Sheet1" xfId="410" xr:uid="{00000000-0005-0000-0000-000014010000}"/>
    <cellStyle name="_Currency_JV Economics" xfId="411" xr:uid="{00000000-0005-0000-0000-000015010000}"/>
    <cellStyle name="_Currency_M&amp;A Feed" xfId="412" xr:uid="{00000000-0005-0000-0000-000016010000}"/>
    <cellStyle name="_Currency_NPV Case Eyechart" xfId="413" xr:uid="{00000000-0005-0000-0000-000017010000}"/>
    <cellStyle name="_Currency_Pools" xfId="414" xr:uid="{00000000-0005-0000-0000-000018010000}"/>
    <cellStyle name="_Currency_Pools_1" xfId="415" xr:uid="{00000000-0005-0000-0000-000019010000}"/>
    <cellStyle name="_Currency_Pools_ControlTables" xfId="416" xr:uid="{00000000-0005-0000-0000-00001A010000}"/>
    <cellStyle name="_Currency_Pools_ControlTablesI" xfId="417" xr:uid="{00000000-0005-0000-0000-00001B010000}"/>
    <cellStyle name="_Currency_Pools_Database - Comparables" xfId="418" xr:uid="{00000000-0005-0000-0000-00001C010000}"/>
    <cellStyle name="_Currency_Pools_DB_Eye" xfId="419" xr:uid="{00000000-0005-0000-0000-00001D010000}"/>
    <cellStyle name="_Currency_Pools_Exec Summary" xfId="420" xr:uid="{00000000-0005-0000-0000-00001E010000}"/>
    <cellStyle name="_Currency_Pools_Exec Summary_1" xfId="421" xr:uid="{00000000-0005-0000-0000-00001F010000}"/>
    <cellStyle name="_Currency_Pools_Sheet1" xfId="422" xr:uid="{00000000-0005-0000-0000-000020010000}"/>
    <cellStyle name="_Currency_Portfolio Valuation" xfId="423" xr:uid="{00000000-0005-0000-0000-000021010000}"/>
    <cellStyle name="_Currency_Pricing" xfId="424" xr:uid="{00000000-0005-0000-0000-000022010000}"/>
    <cellStyle name="_Currency_Prop 13" xfId="425" xr:uid="{00000000-0005-0000-0000-000023010000}"/>
    <cellStyle name="_Currency_Prop 13 Data" xfId="426" xr:uid="{00000000-0005-0000-0000-000024010000}"/>
    <cellStyle name="_Currency_Prop 13 Summary-11-10" xfId="427" xr:uid="{00000000-0005-0000-0000-000025010000}"/>
    <cellStyle name="_Currency_Property Assumptions" xfId="428" xr:uid="{00000000-0005-0000-0000-000026010000}"/>
    <cellStyle name="_Currency_Property Assumptions_1" xfId="429" xr:uid="{00000000-0005-0000-0000-000027010000}"/>
    <cellStyle name="_Currency_Quick Property Input" xfId="430" xr:uid="{00000000-0005-0000-0000-000028010000}"/>
    <cellStyle name="_Currency_Roberts Standalone14 Quarterly 2" xfId="431" xr:uid="{00000000-0005-0000-0000-000029010000}"/>
    <cellStyle name="_Currency_Senario Input Assumptions" xfId="432" xr:uid="{00000000-0005-0000-0000-00002A010000}"/>
    <cellStyle name="_Currency_Senario Input Assumptions_ControlTables" xfId="433" xr:uid="{00000000-0005-0000-0000-00002B010000}"/>
    <cellStyle name="_Currency_Senario Input Assumptions_ControlTablesI" xfId="434" xr:uid="{00000000-0005-0000-0000-00002C010000}"/>
    <cellStyle name="_Currency_Senario Input Assumptions_Database - Comparables" xfId="435" xr:uid="{00000000-0005-0000-0000-00002D010000}"/>
    <cellStyle name="_Currency_Senario Input Assumptions_DB_Eye" xfId="436" xr:uid="{00000000-0005-0000-0000-00002E010000}"/>
    <cellStyle name="_Currency_Senario Input Assumptions_Exec Summary" xfId="437" xr:uid="{00000000-0005-0000-0000-00002F010000}"/>
    <cellStyle name="_Currency_Senario Input Assumptions_Exec Summary_1" xfId="438" xr:uid="{00000000-0005-0000-0000-000030010000}"/>
    <cellStyle name="_Currency_Senario Input Assumptions_Sheet1" xfId="439" xr:uid="{00000000-0005-0000-0000-000031010000}"/>
    <cellStyle name="_Currency_Sheet1" xfId="440" xr:uid="{00000000-0005-0000-0000-000032010000}"/>
    <cellStyle name="_Currency_Sheet1_1" xfId="441" xr:uid="{00000000-0005-0000-0000-000033010000}"/>
    <cellStyle name="_Currency_Sheet1_3-Yr Eyechart" xfId="442" xr:uid="{00000000-0005-0000-0000-000034010000}"/>
    <cellStyle name="_Currency_Sheet1_Balance Sheet" xfId="443" xr:uid="{00000000-0005-0000-0000-000035010000}"/>
    <cellStyle name="_Currency_Sheet1_Balance Sheet_ControlTables" xfId="444" xr:uid="{00000000-0005-0000-0000-000036010000}"/>
    <cellStyle name="_Currency_Sheet1_Balance Sheet_ControlTablesI" xfId="445" xr:uid="{00000000-0005-0000-0000-000037010000}"/>
    <cellStyle name="_Currency_Sheet1_Balance Sheet_Database - Comparables" xfId="446" xr:uid="{00000000-0005-0000-0000-000038010000}"/>
    <cellStyle name="_Currency_Sheet1_Balance Sheet_DB_Eye" xfId="447" xr:uid="{00000000-0005-0000-0000-000039010000}"/>
    <cellStyle name="_Currency_Sheet1_Balance Sheet_Exec Summary" xfId="448" xr:uid="{00000000-0005-0000-0000-00003A010000}"/>
    <cellStyle name="_Currency_Sheet1_Balance Sheet_Exec Summary_1" xfId="449" xr:uid="{00000000-0005-0000-0000-00003B010000}"/>
    <cellStyle name="_Currency_Sheet1_Balance Sheet_Sheet1" xfId="450" xr:uid="{00000000-0005-0000-0000-00003C010000}"/>
    <cellStyle name="_Currency_Sheet1_ControlTables" xfId="451" xr:uid="{00000000-0005-0000-0000-00003D010000}"/>
    <cellStyle name="_Currency_Sheet1_ControlTablesI" xfId="452" xr:uid="{00000000-0005-0000-0000-00003E010000}"/>
    <cellStyle name="_Currency_Sheet1_Cost Of Funds" xfId="453" xr:uid="{00000000-0005-0000-0000-00003F010000}"/>
    <cellStyle name="_Currency_Sheet1_Criteria" xfId="454" xr:uid="{00000000-0005-0000-0000-000040010000}"/>
    <cellStyle name="_Currency_Sheet1_Criteria Test Export" xfId="455" xr:uid="{00000000-0005-0000-0000-000041010000}"/>
    <cellStyle name="_Currency_Sheet1_Criteria_ControlTables" xfId="456" xr:uid="{00000000-0005-0000-0000-000042010000}"/>
    <cellStyle name="_Currency_Sheet1_Criteria_ControlTablesI" xfId="457" xr:uid="{00000000-0005-0000-0000-000043010000}"/>
    <cellStyle name="_Currency_Sheet1_Criteria_Database - Comparables" xfId="458" xr:uid="{00000000-0005-0000-0000-000044010000}"/>
    <cellStyle name="_Currency_Sheet1_Criteria_DB_Eye" xfId="459" xr:uid="{00000000-0005-0000-0000-000045010000}"/>
    <cellStyle name="_Currency_Sheet1_Criteria_Exec Summary" xfId="460" xr:uid="{00000000-0005-0000-0000-000046010000}"/>
    <cellStyle name="_Currency_Sheet1_Criteria_Exec Summary_1" xfId="461" xr:uid="{00000000-0005-0000-0000-000047010000}"/>
    <cellStyle name="_Currency_Sheet1_Criteria_Sheet1" xfId="462" xr:uid="{00000000-0005-0000-0000-000048010000}"/>
    <cellStyle name="_Currency_Sheet1_Data Tape" xfId="463" xr:uid="{00000000-0005-0000-0000-000049010000}"/>
    <cellStyle name="_Currency_Sheet1_Data Tape_1" xfId="464" xr:uid="{00000000-0005-0000-0000-00004A010000}"/>
    <cellStyle name="_Currency_Sheet1_Data Tape_ControlTables" xfId="465" xr:uid="{00000000-0005-0000-0000-00004B010000}"/>
    <cellStyle name="_Currency_Sheet1_Data Tape_ControlTablesI" xfId="466" xr:uid="{00000000-0005-0000-0000-00004C010000}"/>
    <cellStyle name="_Currency_Sheet1_Data Tape_Database - Comparables" xfId="467" xr:uid="{00000000-0005-0000-0000-00004D010000}"/>
    <cellStyle name="_Currency_Sheet1_Data Tape_DB_Eye" xfId="468" xr:uid="{00000000-0005-0000-0000-00004E010000}"/>
    <cellStyle name="_Currency_Sheet1_Data Tape_Exec Summary" xfId="469" xr:uid="{00000000-0005-0000-0000-00004F010000}"/>
    <cellStyle name="_Currency_Sheet1_Data Tape_Exec Summary_1" xfId="470" xr:uid="{00000000-0005-0000-0000-000050010000}"/>
    <cellStyle name="_Currency_Sheet1_Data Tape_Sheet1" xfId="471" xr:uid="{00000000-0005-0000-0000-000051010000}"/>
    <cellStyle name="_Currency_Sheet1_Data_Tape" xfId="472" xr:uid="{00000000-0005-0000-0000-000052010000}"/>
    <cellStyle name="_Currency_Sheet1_Data_Tape_ControlTables" xfId="473" xr:uid="{00000000-0005-0000-0000-000053010000}"/>
    <cellStyle name="_Currency_Sheet1_Data_Tape_ControlTablesI" xfId="474" xr:uid="{00000000-0005-0000-0000-000054010000}"/>
    <cellStyle name="_Currency_Sheet1_Data_Tape_DB_Eye" xfId="475" xr:uid="{00000000-0005-0000-0000-000055010000}"/>
    <cellStyle name="_Currency_Sheet1_Data_Tape_Exec Summary" xfId="476" xr:uid="{00000000-0005-0000-0000-000056010000}"/>
    <cellStyle name="_Currency_Sheet1_Data_Tape_Exec Summary_1" xfId="477" xr:uid="{00000000-0005-0000-0000-000057010000}"/>
    <cellStyle name="_Currency_Sheet1_Data_Tape_Sheet1" xfId="478" xr:uid="{00000000-0005-0000-0000-000058010000}"/>
    <cellStyle name="_Currency_Sheet1_Database - Comparables" xfId="479" xr:uid="{00000000-0005-0000-0000-000059010000}"/>
    <cellStyle name="_Currency_Sheet1_Database - Economics" xfId="480" xr:uid="{00000000-0005-0000-0000-00005A010000}"/>
    <cellStyle name="_Currency_Sheet1_DB_Eye" xfId="481" xr:uid="{00000000-0005-0000-0000-00005B010000}"/>
    <cellStyle name="_Currency_Sheet1_Deal Input" xfId="482" xr:uid="{00000000-0005-0000-0000-00005C010000}"/>
    <cellStyle name="_Currency_Sheet1_Direct Cap Eye" xfId="483" xr:uid="{00000000-0005-0000-0000-00005D010000}"/>
    <cellStyle name="_Currency_Sheet1_DPEM2005_vBetatest6" xfId="484" xr:uid="{00000000-0005-0000-0000-00005E010000}"/>
    <cellStyle name="_Currency_Sheet1_ETR" xfId="485" xr:uid="{00000000-0005-0000-0000-00005F010000}"/>
    <cellStyle name="_Currency_Sheet1_Exec Summary" xfId="486" xr:uid="{00000000-0005-0000-0000-000060010000}"/>
    <cellStyle name="_Currency_Sheet1_Exec Summary_1" xfId="487" xr:uid="{00000000-0005-0000-0000-000061010000}"/>
    <cellStyle name="_Currency_Sheet1_Existing Debt" xfId="488" xr:uid="{00000000-0005-0000-0000-000062010000}"/>
    <cellStyle name="_Currency_Sheet1_Input" xfId="489" xr:uid="{00000000-0005-0000-0000-000063010000}"/>
    <cellStyle name="_Currency_Sheet1_Input_1" xfId="490" xr:uid="{00000000-0005-0000-0000-000064010000}"/>
    <cellStyle name="_Currency_Sheet1_Input_ControlTables" xfId="491" xr:uid="{00000000-0005-0000-0000-000065010000}"/>
    <cellStyle name="_Currency_Sheet1_Input_ControlTablesI" xfId="492" xr:uid="{00000000-0005-0000-0000-000066010000}"/>
    <cellStyle name="_Currency_Sheet1_Input_Data Tape" xfId="493" xr:uid="{00000000-0005-0000-0000-000067010000}"/>
    <cellStyle name="_Currency_Sheet1_Input_Database - Economics" xfId="494" xr:uid="{00000000-0005-0000-0000-000068010000}"/>
    <cellStyle name="_Currency_Sheet1_Input_DB_Eye" xfId="495" xr:uid="{00000000-0005-0000-0000-000069010000}"/>
    <cellStyle name="_Currency_Sheet1_Input_Exec Summary" xfId="496" xr:uid="{00000000-0005-0000-0000-00006A010000}"/>
    <cellStyle name="_Currency_Sheet1_Input_Exec Summary_1" xfId="497" xr:uid="{00000000-0005-0000-0000-00006B010000}"/>
    <cellStyle name="_Currency_Sheet1_Input_Sheet1" xfId="498" xr:uid="{00000000-0005-0000-0000-00006C010000}"/>
    <cellStyle name="_Currency_Sheet1_M&amp;A Feed" xfId="499" xr:uid="{00000000-0005-0000-0000-00006D010000}"/>
    <cellStyle name="_Currency_Sheet1_NPV Case Eyechart" xfId="500" xr:uid="{00000000-0005-0000-0000-00006E010000}"/>
    <cellStyle name="_Currency_Sheet1_Pools" xfId="501" xr:uid="{00000000-0005-0000-0000-00006F010000}"/>
    <cellStyle name="_Currency_Sheet1_Pools_1" xfId="502" xr:uid="{00000000-0005-0000-0000-000070010000}"/>
    <cellStyle name="_Currency_Sheet1_Pools_ControlTables" xfId="503" xr:uid="{00000000-0005-0000-0000-000071010000}"/>
    <cellStyle name="_Currency_Sheet1_Pools_ControlTablesI" xfId="504" xr:uid="{00000000-0005-0000-0000-000072010000}"/>
    <cellStyle name="_Currency_Sheet1_Pools_DB_Eye" xfId="505" xr:uid="{00000000-0005-0000-0000-000073010000}"/>
    <cellStyle name="_Currency_Sheet1_Pools_Exec Summary" xfId="506" xr:uid="{00000000-0005-0000-0000-000074010000}"/>
    <cellStyle name="_Currency_Sheet1_Pools_Exec Summary_1" xfId="507" xr:uid="{00000000-0005-0000-0000-000075010000}"/>
    <cellStyle name="_Currency_Sheet1_Pools_Sheet1" xfId="508" xr:uid="{00000000-0005-0000-0000-000076010000}"/>
    <cellStyle name="_Currency_Sheet1_Portfolio Valuation" xfId="509" xr:uid="{00000000-0005-0000-0000-000077010000}"/>
    <cellStyle name="_Currency_Sheet1_Prop 13" xfId="510" xr:uid="{00000000-0005-0000-0000-000078010000}"/>
    <cellStyle name="_Currency_Sheet1_Prop 13 Data" xfId="511" xr:uid="{00000000-0005-0000-0000-000079010000}"/>
    <cellStyle name="_Currency_Sheet1_Prop 13 Summary-11-10" xfId="512" xr:uid="{00000000-0005-0000-0000-00007A010000}"/>
    <cellStyle name="_Currency_Sheet1_Property Assumptions" xfId="513" xr:uid="{00000000-0005-0000-0000-00007B010000}"/>
    <cellStyle name="_Currency_Sheet1_Property Assumptions_1" xfId="514" xr:uid="{00000000-0005-0000-0000-00007C010000}"/>
    <cellStyle name="_Currency_Sheet1_Quick Property Input" xfId="515" xr:uid="{00000000-0005-0000-0000-00007D010000}"/>
    <cellStyle name="_Currency_Sheet1_Senario Input Assumptions" xfId="516" xr:uid="{00000000-0005-0000-0000-00007E010000}"/>
    <cellStyle name="_Currency_Sheet1_Senario Input Assumptions_ControlTables" xfId="517" xr:uid="{00000000-0005-0000-0000-00007F010000}"/>
    <cellStyle name="_Currency_Sheet1_Senario Input Assumptions_ControlTablesI" xfId="518" xr:uid="{00000000-0005-0000-0000-000080010000}"/>
    <cellStyle name="_Currency_Sheet1_Senario Input Assumptions_DB_Eye" xfId="519" xr:uid="{00000000-0005-0000-0000-000081010000}"/>
    <cellStyle name="_Currency_Sheet1_Senario Input Assumptions_Exec Summary" xfId="520" xr:uid="{00000000-0005-0000-0000-000082010000}"/>
    <cellStyle name="_Currency_Sheet1_Senario Input Assumptions_Exec Summary_1" xfId="521" xr:uid="{00000000-0005-0000-0000-000083010000}"/>
    <cellStyle name="_Currency_Sheet1_Senario Input Assumptions_Sheet1" xfId="522" xr:uid="{00000000-0005-0000-0000-000084010000}"/>
    <cellStyle name="_Currency_Sheet1_Sheet1" xfId="523" xr:uid="{00000000-0005-0000-0000-000085010000}"/>
    <cellStyle name="_Currency_Sheet1_Sheet1_Data Tape" xfId="524" xr:uid="{00000000-0005-0000-0000-000086010000}"/>
    <cellStyle name="_Currency_Sheet1_Sheet1_Database - Eyechart" xfId="525" xr:uid="{00000000-0005-0000-0000-000087010000}"/>
    <cellStyle name="_Currency_Sheet1_Sheet1_Deal Assumptions" xfId="526" xr:uid="{00000000-0005-0000-0000-000088010000}"/>
    <cellStyle name="_Currency_Sheet1_Sheet1_Model" xfId="527" xr:uid="{00000000-0005-0000-0000-000089010000}"/>
    <cellStyle name="_Currency_Sheet1_Sheet1_Monthly CF Input" xfId="528" xr:uid="{00000000-0005-0000-0000-00008A010000}"/>
    <cellStyle name="_Currency_Sheet1_Sheet1_Property Assumptions" xfId="529" xr:uid="{00000000-0005-0000-0000-00008B010000}"/>
    <cellStyle name="_Currency_Sheet1_Sheet1_RE Valuation 2" xfId="530" xr:uid="{00000000-0005-0000-0000-00008C010000}"/>
    <cellStyle name="_Currency_Sheet1_Sheet1_Sensitivities" xfId="531" xr:uid="{00000000-0005-0000-0000-00008D010000}"/>
    <cellStyle name="_Currency_Sheet1_Sheet2" xfId="532" xr:uid="{00000000-0005-0000-0000-00008E010000}"/>
    <cellStyle name="_Currency_Sheet1_Sheet2_1" xfId="533" xr:uid="{00000000-0005-0000-0000-00008F010000}"/>
    <cellStyle name="_Currency_Sheet1_Sheet3" xfId="534" xr:uid="{00000000-0005-0000-0000-000090010000}"/>
    <cellStyle name="_Currency_Sheet1_Sheet5" xfId="535" xr:uid="{00000000-0005-0000-0000-000091010000}"/>
    <cellStyle name="_Currency_Sheet1_Structure Model_2003_test2" xfId="536" xr:uid="{00000000-0005-0000-0000-000092010000}"/>
    <cellStyle name="_Currency_Sheet1_Structure Model_2003_test2_ControlTables" xfId="537" xr:uid="{00000000-0005-0000-0000-000093010000}"/>
    <cellStyle name="_Currency_Sheet1_Structure Model_2003_test2_ControlTablesI" xfId="538" xr:uid="{00000000-0005-0000-0000-000094010000}"/>
    <cellStyle name="_Currency_Sheet1_Structure Model_2003_test2_DB_Eye" xfId="539" xr:uid="{00000000-0005-0000-0000-000095010000}"/>
    <cellStyle name="_Currency_Sheet1_Structure Model_2003_test2_Exec Summary" xfId="540" xr:uid="{00000000-0005-0000-0000-000096010000}"/>
    <cellStyle name="_Currency_Sheet1_Structure Model_2003_test2_Exec Summary_1" xfId="541" xr:uid="{00000000-0005-0000-0000-000097010000}"/>
    <cellStyle name="_Currency_Sheet1_Structure Model_2003_test2_Sheet1" xfId="542" xr:uid="{00000000-0005-0000-0000-000098010000}"/>
    <cellStyle name="_Currency_Sheet2" xfId="543" xr:uid="{00000000-0005-0000-0000-000099010000}"/>
    <cellStyle name="_Currency_Sheet2_1" xfId="544" xr:uid="{00000000-0005-0000-0000-00009A010000}"/>
    <cellStyle name="_Currency_Sheet3" xfId="545" xr:uid="{00000000-0005-0000-0000-00009B010000}"/>
    <cellStyle name="_Currency_Sheet3_1" xfId="546" xr:uid="{00000000-0005-0000-0000-00009C010000}"/>
    <cellStyle name="_Currency_Sheet3_ControlTables" xfId="547" xr:uid="{00000000-0005-0000-0000-00009D010000}"/>
    <cellStyle name="_Currency_Sheet3_ControlTablesI" xfId="548" xr:uid="{00000000-0005-0000-0000-00009E010000}"/>
    <cellStyle name="_Currency_Sheet3_DB_Eye" xfId="549" xr:uid="{00000000-0005-0000-0000-00009F010000}"/>
    <cellStyle name="_Currency_Sheet3_Exec Summary" xfId="550" xr:uid="{00000000-0005-0000-0000-0000A0010000}"/>
    <cellStyle name="_Currency_Sheet3_Exec Summary_1" xfId="551" xr:uid="{00000000-0005-0000-0000-0000A1010000}"/>
    <cellStyle name="_Currency_Sheet3_Sheet1" xfId="552" xr:uid="{00000000-0005-0000-0000-0000A2010000}"/>
    <cellStyle name="_Currency_Sheet4" xfId="553" xr:uid="{00000000-0005-0000-0000-0000A3010000}"/>
    <cellStyle name="_Currency_Sheet5" xfId="554" xr:uid="{00000000-0005-0000-0000-0000A4010000}"/>
    <cellStyle name="_Currency_Structure Model_2003_test2" xfId="555" xr:uid="{00000000-0005-0000-0000-0000A5010000}"/>
    <cellStyle name="_Currency_Structure Model_2003_test2_ControlTables" xfId="556" xr:uid="{00000000-0005-0000-0000-0000A6010000}"/>
    <cellStyle name="_Currency_Structure Model_2003_test2_ControlTablesI" xfId="557" xr:uid="{00000000-0005-0000-0000-0000A7010000}"/>
    <cellStyle name="_Currency_Structure Model_2003_test2_DB_Eye" xfId="558" xr:uid="{00000000-0005-0000-0000-0000A8010000}"/>
    <cellStyle name="_Currency_Structure Model_2003_test2_Exec Summary" xfId="559" xr:uid="{00000000-0005-0000-0000-0000A9010000}"/>
    <cellStyle name="_Currency_Structure Model_2003_test2_Exec Summary_1" xfId="560" xr:uid="{00000000-0005-0000-0000-0000AA010000}"/>
    <cellStyle name="_Currency_Structure Model_2003_test2_Sheet1" xfId="561" xr:uid="{00000000-0005-0000-0000-0000AB010000}"/>
    <cellStyle name="_CurrencySpace" xfId="562" xr:uid="{00000000-0005-0000-0000-0000AC010000}"/>
    <cellStyle name="_CurrencySpace_3-Yr Eyechart" xfId="563" xr:uid="{00000000-0005-0000-0000-0000AD010000}"/>
    <cellStyle name="_CurrencySpace_Balance Sheet" xfId="564" xr:uid="{00000000-0005-0000-0000-0000AE010000}"/>
    <cellStyle name="_CurrencySpace_Balance Sheet_ControlTables" xfId="565" xr:uid="{00000000-0005-0000-0000-0000AF010000}"/>
    <cellStyle name="_CurrencySpace_Balance Sheet_ControlTablesI" xfId="566" xr:uid="{00000000-0005-0000-0000-0000B0010000}"/>
    <cellStyle name="_CurrencySpace_Balance Sheet_DB_Eye" xfId="567" xr:uid="{00000000-0005-0000-0000-0000B1010000}"/>
    <cellStyle name="_CurrencySpace_Balance Sheet_Exec Summary" xfId="568" xr:uid="{00000000-0005-0000-0000-0000B2010000}"/>
    <cellStyle name="_CurrencySpace_Balance Sheet_Exec Summary_1" xfId="569" xr:uid="{00000000-0005-0000-0000-0000B3010000}"/>
    <cellStyle name="_CurrencySpace_Balance Sheet_Sheet1" xfId="570" xr:uid="{00000000-0005-0000-0000-0000B4010000}"/>
    <cellStyle name="_CurrencySpace_ControlTables" xfId="571" xr:uid="{00000000-0005-0000-0000-0000B5010000}"/>
    <cellStyle name="_CurrencySpace_ControlTablesI" xfId="572" xr:uid="{00000000-0005-0000-0000-0000B6010000}"/>
    <cellStyle name="_CurrencySpace_Cost Of Funds" xfId="573" xr:uid="{00000000-0005-0000-0000-0000B7010000}"/>
    <cellStyle name="_CurrencySpace_Criteria" xfId="574" xr:uid="{00000000-0005-0000-0000-0000B8010000}"/>
    <cellStyle name="_CurrencySpace_Criteria Test Export" xfId="575" xr:uid="{00000000-0005-0000-0000-0000B9010000}"/>
    <cellStyle name="_CurrencySpace_Criteria_ControlTables" xfId="576" xr:uid="{00000000-0005-0000-0000-0000BA010000}"/>
    <cellStyle name="_CurrencySpace_Criteria_ControlTablesI" xfId="577" xr:uid="{00000000-0005-0000-0000-0000BB010000}"/>
    <cellStyle name="_CurrencySpace_Criteria_DB_Eye" xfId="578" xr:uid="{00000000-0005-0000-0000-0000BC010000}"/>
    <cellStyle name="_CurrencySpace_Criteria_Exec Summary" xfId="579" xr:uid="{00000000-0005-0000-0000-0000BD010000}"/>
    <cellStyle name="_CurrencySpace_Criteria_Exec Summary_1" xfId="580" xr:uid="{00000000-0005-0000-0000-0000BE010000}"/>
    <cellStyle name="_CurrencySpace_Criteria_Sheet1" xfId="581" xr:uid="{00000000-0005-0000-0000-0000BF010000}"/>
    <cellStyle name="_CurrencySpace_Data Tape" xfId="582" xr:uid="{00000000-0005-0000-0000-0000C0010000}"/>
    <cellStyle name="_CurrencySpace_Data Tape_1" xfId="583" xr:uid="{00000000-0005-0000-0000-0000C1010000}"/>
    <cellStyle name="_CurrencySpace_Data Tape_ControlTables" xfId="584" xr:uid="{00000000-0005-0000-0000-0000C2010000}"/>
    <cellStyle name="_CurrencySpace_Data Tape_ControlTablesI" xfId="585" xr:uid="{00000000-0005-0000-0000-0000C3010000}"/>
    <cellStyle name="_CurrencySpace_Data Tape_DB_Eye" xfId="586" xr:uid="{00000000-0005-0000-0000-0000C4010000}"/>
    <cellStyle name="_CurrencySpace_Data Tape_Exec Summary" xfId="587" xr:uid="{00000000-0005-0000-0000-0000C5010000}"/>
    <cellStyle name="_CurrencySpace_Data Tape_Exec Summary_1" xfId="588" xr:uid="{00000000-0005-0000-0000-0000C6010000}"/>
    <cellStyle name="_CurrencySpace_Data Tape_Sheet1" xfId="589" xr:uid="{00000000-0005-0000-0000-0000C7010000}"/>
    <cellStyle name="_CurrencySpace_Data_Tape" xfId="590" xr:uid="{00000000-0005-0000-0000-0000C8010000}"/>
    <cellStyle name="_CurrencySpace_Database - Economics" xfId="591" xr:uid="{00000000-0005-0000-0000-0000C9010000}"/>
    <cellStyle name="_CurrencySpace_DB_Eye" xfId="592" xr:uid="{00000000-0005-0000-0000-0000CA010000}"/>
    <cellStyle name="_CurrencySpace_Deal Input" xfId="593" xr:uid="{00000000-0005-0000-0000-0000CB010000}"/>
    <cellStyle name="_CurrencySpace_Direct Cap Eye" xfId="594" xr:uid="{00000000-0005-0000-0000-0000CC010000}"/>
    <cellStyle name="_CurrencySpace_DPEM2005_vBetatest6" xfId="595" xr:uid="{00000000-0005-0000-0000-0000CD010000}"/>
    <cellStyle name="_CurrencySpace_ETR" xfId="596" xr:uid="{00000000-0005-0000-0000-0000CE010000}"/>
    <cellStyle name="_CurrencySpace_Exec Summary" xfId="597" xr:uid="{00000000-0005-0000-0000-0000CF010000}"/>
    <cellStyle name="_CurrencySpace_Exec Summary_1" xfId="598" xr:uid="{00000000-0005-0000-0000-0000D0010000}"/>
    <cellStyle name="_CurrencySpace_Existing Debt" xfId="599" xr:uid="{00000000-0005-0000-0000-0000D1010000}"/>
    <cellStyle name="_CurrencySpace_EyeChart" xfId="600" xr:uid="{00000000-0005-0000-0000-0000D2010000}"/>
    <cellStyle name="_CurrencySpace_EyeChart 090503" xfId="601" xr:uid="{00000000-0005-0000-0000-0000D3010000}"/>
    <cellStyle name="_CurrencySpace_Input" xfId="602" xr:uid="{00000000-0005-0000-0000-0000D4010000}"/>
    <cellStyle name="_CurrencySpace_Input_1" xfId="603" xr:uid="{00000000-0005-0000-0000-0000D5010000}"/>
    <cellStyle name="_CurrencySpace_Input_ControlTables" xfId="604" xr:uid="{00000000-0005-0000-0000-0000D6010000}"/>
    <cellStyle name="_CurrencySpace_Input_ControlTablesI" xfId="605" xr:uid="{00000000-0005-0000-0000-0000D7010000}"/>
    <cellStyle name="_CurrencySpace_Input_Data Tape" xfId="606" xr:uid="{00000000-0005-0000-0000-0000D8010000}"/>
    <cellStyle name="_CurrencySpace_Input_Database - Economics" xfId="607" xr:uid="{00000000-0005-0000-0000-0000D9010000}"/>
    <cellStyle name="_CurrencySpace_Input_DB_Eye" xfId="608" xr:uid="{00000000-0005-0000-0000-0000DA010000}"/>
    <cellStyle name="_CurrencySpace_Input_Exec Summary" xfId="609" xr:uid="{00000000-0005-0000-0000-0000DB010000}"/>
    <cellStyle name="_CurrencySpace_Input_Exec Summary_1" xfId="610" xr:uid="{00000000-0005-0000-0000-0000DC010000}"/>
    <cellStyle name="_CurrencySpace_Input_Sheet1" xfId="611" xr:uid="{00000000-0005-0000-0000-0000DD010000}"/>
    <cellStyle name="_CurrencySpace_JV Economics" xfId="612" xr:uid="{00000000-0005-0000-0000-0000DE010000}"/>
    <cellStyle name="_CurrencySpace_M&amp;A Feed" xfId="613" xr:uid="{00000000-0005-0000-0000-0000DF010000}"/>
    <cellStyle name="_CurrencySpace_NPV Case Eyechart" xfId="614" xr:uid="{00000000-0005-0000-0000-0000E0010000}"/>
    <cellStyle name="_CurrencySpace_Pools" xfId="615" xr:uid="{00000000-0005-0000-0000-0000E1010000}"/>
    <cellStyle name="_CurrencySpace_Pools_1" xfId="616" xr:uid="{00000000-0005-0000-0000-0000E2010000}"/>
    <cellStyle name="_CurrencySpace_Portfolio Valuation" xfId="617" xr:uid="{00000000-0005-0000-0000-0000E3010000}"/>
    <cellStyle name="_CurrencySpace_Pricing" xfId="618" xr:uid="{00000000-0005-0000-0000-0000E4010000}"/>
    <cellStyle name="_CurrencySpace_Prop 13" xfId="619" xr:uid="{00000000-0005-0000-0000-0000E5010000}"/>
    <cellStyle name="_CurrencySpace_Prop 13 Data" xfId="620" xr:uid="{00000000-0005-0000-0000-0000E6010000}"/>
    <cellStyle name="_CurrencySpace_Prop 13 Summary-11-10" xfId="621" xr:uid="{00000000-0005-0000-0000-0000E7010000}"/>
    <cellStyle name="_CurrencySpace_Property Assumptions" xfId="622" xr:uid="{00000000-0005-0000-0000-0000E8010000}"/>
    <cellStyle name="_CurrencySpace_Property Assumptions_1" xfId="623" xr:uid="{00000000-0005-0000-0000-0000E9010000}"/>
    <cellStyle name="_CurrencySpace_Quick Property Input" xfId="624" xr:uid="{00000000-0005-0000-0000-0000EA010000}"/>
    <cellStyle name="_CurrencySpace_Senario Input Assumptions" xfId="625" xr:uid="{00000000-0005-0000-0000-0000EB010000}"/>
    <cellStyle name="_CurrencySpace_Senario Input Assumptions_ControlTables" xfId="626" xr:uid="{00000000-0005-0000-0000-0000EC010000}"/>
    <cellStyle name="_CurrencySpace_Senario Input Assumptions_ControlTablesI" xfId="627" xr:uid="{00000000-0005-0000-0000-0000ED010000}"/>
    <cellStyle name="_CurrencySpace_Senario Input Assumptions_DB_Eye" xfId="628" xr:uid="{00000000-0005-0000-0000-0000EE010000}"/>
    <cellStyle name="_CurrencySpace_Senario Input Assumptions_Exec Summary" xfId="629" xr:uid="{00000000-0005-0000-0000-0000EF010000}"/>
    <cellStyle name="_CurrencySpace_Senario Input Assumptions_Exec Summary_1" xfId="630" xr:uid="{00000000-0005-0000-0000-0000F0010000}"/>
    <cellStyle name="_CurrencySpace_Senario Input Assumptions_Sheet1" xfId="631" xr:uid="{00000000-0005-0000-0000-0000F1010000}"/>
    <cellStyle name="_CurrencySpace_Sheet1" xfId="632" xr:uid="{00000000-0005-0000-0000-0000F2010000}"/>
    <cellStyle name="_CurrencySpace_Sheet1_1" xfId="633" xr:uid="{00000000-0005-0000-0000-0000F3010000}"/>
    <cellStyle name="_CurrencySpace_Sheet1_3-Yr Eyechart" xfId="634" xr:uid="{00000000-0005-0000-0000-0000F4010000}"/>
    <cellStyle name="_CurrencySpace_Sheet1_Balance Sheet" xfId="635" xr:uid="{00000000-0005-0000-0000-0000F5010000}"/>
    <cellStyle name="_CurrencySpace_Sheet1_Cost Of Funds" xfId="636" xr:uid="{00000000-0005-0000-0000-0000F6010000}"/>
    <cellStyle name="_CurrencySpace_Sheet1_Criteria" xfId="637" xr:uid="{00000000-0005-0000-0000-0000F7010000}"/>
    <cellStyle name="_CurrencySpace_Sheet1_Criteria Test Export" xfId="638" xr:uid="{00000000-0005-0000-0000-0000F8010000}"/>
    <cellStyle name="_CurrencySpace_Sheet1_Data Tape" xfId="639" xr:uid="{00000000-0005-0000-0000-0000F9010000}"/>
    <cellStyle name="_CurrencySpace_Sheet1_Data Tape_1" xfId="640" xr:uid="{00000000-0005-0000-0000-0000FA010000}"/>
    <cellStyle name="_CurrencySpace_Sheet1_Data_Tape" xfId="641" xr:uid="{00000000-0005-0000-0000-0000FB010000}"/>
    <cellStyle name="_CurrencySpace_Sheet1_Data_Tape_ControlTables" xfId="642" xr:uid="{00000000-0005-0000-0000-0000FC010000}"/>
    <cellStyle name="_CurrencySpace_Sheet1_Data_Tape_ControlTablesI" xfId="643" xr:uid="{00000000-0005-0000-0000-0000FD010000}"/>
    <cellStyle name="_CurrencySpace_Sheet1_Data_Tape_DB_Eye" xfId="644" xr:uid="{00000000-0005-0000-0000-0000FE010000}"/>
    <cellStyle name="_CurrencySpace_Sheet1_Data_Tape_Exec Summary" xfId="645" xr:uid="{00000000-0005-0000-0000-0000FF010000}"/>
    <cellStyle name="_CurrencySpace_Sheet1_Data_Tape_Exec Summary_1" xfId="646" xr:uid="{00000000-0005-0000-0000-000000020000}"/>
    <cellStyle name="_CurrencySpace_Sheet1_Data_Tape_Sheet1" xfId="647" xr:uid="{00000000-0005-0000-0000-000001020000}"/>
    <cellStyle name="_CurrencySpace_Sheet1_Database - Economics" xfId="648" xr:uid="{00000000-0005-0000-0000-000002020000}"/>
    <cellStyle name="_CurrencySpace_Sheet1_Deal Input" xfId="649" xr:uid="{00000000-0005-0000-0000-000003020000}"/>
    <cellStyle name="_CurrencySpace_Sheet1_Direct Cap Eye" xfId="650" xr:uid="{00000000-0005-0000-0000-000004020000}"/>
    <cellStyle name="_CurrencySpace_Sheet1_DPEM2005_vBetatest6" xfId="651" xr:uid="{00000000-0005-0000-0000-000005020000}"/>
    <cellStyle name="_CurrencySpace_Sheet1_ETR" xfId="652" xr:uid="{00000000-0005-0000-0000-000006020000}"/>
    <cellStyle name="_CurrencySpace_Sheet1_Existing Debt" xfId="653" xr:uid="{00000000-0005-0000-0000-000007020000}"/>
    <cellStyle name="_CurrencySpace_Sheet1_Input" xfId="654" xr:uid="{00000000-0005-0000-0000-000008020000}"/>
    <cellStyle name="_CurrencySpace_Sheet1_Input_1" xfId="655" xr:uid="{00000000-0005-0000-0000-000009020000}"/>
    <cellStyle name="_CurrencySpace_Sheet1_Input_Data Tape" xfId="656" xr:uid="{00000000-0005-0000-0000-00000A020000}"/>
    <cellStyle name="_CurrencySpace_Sheet1_Input_Database - Economics" xfId="657" xr:uid="{00000000-0005-0000-0000-00000B020000}"/>
    <cellStyle name="_CurrencySpace_Sheet1_M&amp;A Feed" xfId="658" xr:uid="{00000000-0005-0000-0000-00000C020000}"/>
    <cellStyle name="_CurrencySpace_Sheet1_NPV Case Eyechart" xfId="659" xr:uid="{00000000-0005-0000-0000-00000D020000}"/>
    <cellStyle name="_CurrencySpace_Sheet1_Pools" xfId="660" xr:uid="{00000000-0005-0000-0000-00000E020000}"/>
    <cellStyle name="_CurrencySpace_Sheet1_Pools_1" xfId="661" xr:uid="{00000000-0005-0000-0000-00000F020000}"/>
    <cellStyle name="_CurrencySpace_Sheet1_Pools_ControlTables" xfId="662" xr:uid="{00000000-0005-0000-0000-000010020000}"/>
    <cellStyle name="_CurrencySpace_Sheet1_Pools_ControlTablesI" xfId="663" xr:uid="{00000000-0005-0000-0000-000011020000}"/>
    <cellStyle name="_CurrencySpace_Sheet1_Pools_DB_Eye" xfId="664" xr:uid="{00000000-0005-0000-0000-000012020000}"/>
    <cellStyle name="_CurrencySpace_Sheet1_Pools_Exec Summary" xfId="665" xr:uid="{00000000-0005-0000-0000-000013020000}"/>
    <cellStyle name="_CurrencySpace_Sheet1_Pools_Exec Summary_1" xfId="666" xr:uid="{00000000-0005-0000-0000-000014020000}"/>
    <cellStyle name="_CurrencySpace_Sheet1_Pools_Sheet1" xfId="667" xr:uid="{00000000-0005-0000-0000-000015020000}"/>
    <cellStyle name="_CurrencySpace_Sheet1_Portfolio Valuation" xfId="668" xr:uid="{00000000-0005-0000-0000-000016020000}"/>
    <cellStyle name="_CurrencySpace_Sheet1_Prop 13" xfId="669" xr:uid="{00000000-0005-0000-0000-000017020000}"/>
    <cellStyle name="_CurrencySpace_Sheet1_Prop 13 Data" xfId="670" xr:uid="{00000000-0005-0000-0000-000018020000}"/>
    <cellStyle name="_CurrencySpace_Sheet1_Prop 13 Summary-11-10" xfId="671" xr:uid="{00000000-0005-0000-0000-000019020000}"/>
    <cellStyle name="_CurrencySpace_Sheet1_Property Assumptions" xfId="672" xr:uid="{00000000-0005-0000-0000-00001A020000}"/>
    <cellStyle name="_CurrencySpace_Sheet1_Property Assumptions_1" xfId="673" xr:uid="{00000000-0005-0000-0000-00001B020000}"/>
    <cellStyle name="_CurrencySpace_Sheet1_Quick Property Input" xfId="674" xr:uid="{00000000-0005-0000-0000-00001C020000}"/>
    <cellStyle name="_CurrencySpace_Sheet1_Senario Input Assumptions" xfId="675" xr:uid="{00000000-0005-0000-0000-00001D020000}"/>
    <cellStyle name="_CurrencySpace_Sheet1_Sheet1" xfId="676" xr:uid="{00000000-0005-0000-0000-00001E020000}"/>
    <cellStyle name="_CurrencySpace_Sheet1_Sheet2" xfId="677" xr:uid="{00000000-0005-0000-0000-00001F020000}"/>
    <cellStyle name="_CurrencySpace_Sheet1_Sheet2_1" xfId="678" xr:uid="{00000000-0005-0000-0000-000020020000}"/>
    <cellStyle name="_CurrencySpace_Sheet1_Sheet3" xfId="679" xr:uid="{00000000-0005-0000-0000-000021020000}"/>
    <cellStyle name="_CurrencySpace_Sheet1_Sheet5" xfId="680" xr:uid="{00000000-0005-0000-0000-000022020000}"/>
    <cellStyle name="_CurrencySpace_Sheet1_Structure Model_2003_test2" xfId="681" xr:uid="{00000000-0005-0000-0000-000023020000}"/>
    <cellStyle name="_CurrencySpace_Sheet2" xfId="682" xr:uid="{00000000-0005-0000-0000-000024020000}"/>
    <cellStyle name="_CurrencySpace_Sheet2_1" xfId="683" xr:uid="{00000000-0005-0000-0000-000025020000}"/>
    <cellStyle name="_CurrencySpace_Sheet3" xfId="684" xr:uid="{00000000-0005-0000-0000-000026020000}"/>
    <cellStyle name="_CurrencySpace_Sheet3_1" xfId="685" xr:uid="{00000000-0005-0000-0000-000027020000}"/>
    <cellStyle name="_CurrencySpace_Sheet4" xfId="686" xr:uid="{00000000-0005-0000-0000-000028020000}"/>
    <cellStyle name="_CurrencySpace_Sheet5" xfId="687" xr:uid="{00000000-0005-0000-0000-000029020000}"/>
    <cellStyle name="_CurrencySpace_Structure Model_2003_test2" xfId="688" xr:uid="{00000000-0005-0000-0000-00002A020000}"/>
    <cellStyle name="_CurrencySpace_Structure Model_2003_test2_ControlTables" xfId="689" xr:uid="{00000000-0005-0000-0000-00002B020000}"/>
    <cellStyle name="_CurrencySpace_Structure Model_2003_test2_ControlTablesI" xfId="690" xr:uid="{00000000-0005-0000-0000-00002C020000}"/>
    <cellStyle name="_CurrencySpace_Structure Model_2003_test2_DB_Eye" xfId="691" xr:uid="{00000000-0005-0000-0000-00002D020000}"/>
    <cellStyle name="_CurrencySpace_Structure Model_2003_test2_Exec Summary" xfId="692" xr:uid="{00000000-0005-0000-0000-00002E020000}"/>
    <cellStyle name="_CurrencySpace_Structure Model_2003_test2_Exec Summary_1" xfId="693" xr:uid="{00000000-0005-0000-0000-00002F020000}"/>
    <cellStyle name="_CurrencySpace_Structure Model_2003_test2_Sheet1" xfId="694" xr:uid="{00000000-0005-0000-0000-000030020000}"/>
    <cellStyle name="_Euro" xfId="695" xr:uid="{00000000-0005-0000-0000-000031020000}"/>
    <cellStyle name="_Euro_ControlTables" xfId="696" xr:uid="{00000000-0005-0000-0000-000032020000}"/>
    <cellStyle name="_Euro_ControlTablesI" xfId="697" xr:uid="{00000000-0005-0000-0000-000033020000}"/>
    <cellStyle name="_Euro_DB Eye" xfId="698" xr:uid="{00000000-0005-0000-0000-000034020000}"/>
    <cellStyle name="_Euro_DB_Eye" xfId="699" xr:uid="{00000000-0005-0000-0000-000035020000}"/>
    <cellStyle name="_Euro_Exec Summary" xfId="700" xr:uid="{00000000-0005-0000-0000-000036020000}"/>
    <cellStyle name="_Euro_Sheet1" xfId="701" xr:uid="{00000000-0005-0000-0000-000037020000}"/>
    <cellStyle name="_Existing Debt" xfId="702" xr:uid="{00000000-0005-0000-0000-000038020000}"/>
    <cellStyle name="_Heading" xfId="703" xr:uid="{00000000-0005-0000-0000-000039020000}"/>
    <cellStyle name="_Highlight" xfId="704" xr:uid="{00000000-0005-0000-0000-00003A020000}"/>
    <cellStyle name="_Multiple" xfId="705" xr:uid="{00000000-0005-0000-0000-00003B020000}"/>
    <cellStyle name="_Multiple_3-Yr Eyechart" xfId="706" xr:uid="{00000000-0005-0000-0000-00003C020000}"/>
    <cellStyle name="_Multiple_ARI Base Case July 25 TPS1" xfId="707" xr:uid="{00000000-0005-0000-0000-00003D020000}"/>
    <cellStyle name="_Multiple_Balance Sheet" xfId="708" xr:uid="{00000000-0005-0000-0000-00003E020000}"/>
    <cellStyle name="_Multiple_Cost Of Funds" xfId="709" xr:uid="{00000000-0005-0000-0000-00003F020000}"/>
    <cellStyle name="_Multiple_Criteria" xfId="710" xr:uid="{00000000-0005-0000-0000-000040020000}"/>
    <cellStyle name="_Multiple_Criteria Test Export" xfId="711" xr:uid="{00000000-0005-0000-0000-000041020000}"/>
    <cellStyle name="_Multiple_Data Tape" xfId="712" xr:uid="{00000000-0005-0000-0000-000042020000}"/>
    <cellStyle name="_Multiple_Data Tape_1" xfId="713" xr:uid="{00000000-0005-0000-0000-000043020000}"/>
    <cellStyle name="_Multiple_Data_Tape" xfId="714" xr:uid="{00000000-0005-0000-0000-000044020000}"/>
    <cellStyle name="_Multiple_DB_Eye" xfId="715" xr:uid="{00000000-0005-0000-0000-000045020000}"/>
    <cellStyle name="_Multiple_Deal Input" xfId="716" xr:uid="{00000000-0005-0000-0000-000046020000}"/>
    <cellStyle name="_Multiple_Direct Cap Eye" xfId="717" xr:uid="{00000000-0005-0000-0000-000047020000}"/>
    <cellStyle name="_Multiple_DPEM2005_vBetatest6" xfId="718" xr:uid="{00000000-0005-0000-0000-000048020000}"/>
    <cellStyle name="_Multiple_ETR" xfId="719" xr:uid="{00000000-0005-0000-0000-000049020000}"/>
    <cellStyle name="_Multiple_Existing Debt" xfId="720" xr:uid="{00000000-0005-0000-0000-00004A020000}"/>
    <cellStyle name="_Multiple_Existing Debt_1" xfId="721" xr:uid="{00000000-0005-0000-0000-00004B020000}"/>
    <cellStyle name="_Multiple_EyeChart" xfId="722" xr:uid="{00000000-0005-0000-0000-00004C020000}"/>
    <cellStyle name="_Multiple_EyeChart 090503" xfId="723" xr:uid="{00000000-0005-0000-0000-00004D020000}"/>
    <cellStyle name="_Multiple_Input" xfId="724" xr:uid="{00000000-0005-0000-0000-00004E020000}"/>
    <cellStyle name="_Multiple_Input_1" xfId="725" xr:uid="{00000000-0005-0000-0000-00004F020000}"/>
    <cellStyle name="_Multiple_Input_Data Tape" xfId="726" xr:uid="{00000000-0005-0000-0000-000050020000}"/>
    <cellStyle name="_Multiple_JV Economics" xfId="727" xr:uid="{00000000-0005-0000-0000-000051020000}"/>
    <cellStyle name="_Multiple_M&amp;A Feed" xfId="728" xr:uid="{00000000-0005-0000-0000-000052020000}"/>
    <cellStyle name="_Multiple_NPV Case Eyechart" xfId="729" xr:uid="{00000000-0005-0000-0000-000053020000}"/>
    <cellStyle name="_Multiple_Pools" xfId="730" xr:uid="{00000000-0005-0000-0000-000054020000}"/>
    <cellStyle name="_Multiple_Pools_1" xfId="731" xr:uid="{00000000-0005-0000-0000-000055020000}"/>
    <cellStyle name="_Multiple_Portfolio Valuation" xfId="732" xr:uid="{00000000-0005-0000-0000-000056020000}"/>
    <cellStyle name="_Multiple_Pricing" xfId="733" xr:uid="{00000000-0005-0000-0000-000057020000}"/>
    <cellStyle name="_Multiple_Prop 13" xfId="734" xr:uid="{00000000-0005-0000-0000-000058020000}"/>
    <cellStyle name="_Multiple_Prop 13 Data" xfId="735" xr:uid="{00000000-0005-0000-0000-000059020000}"/>
    <cellStyle name="_Multiple_Prop 13 Summary-11-10" xfId="736" xr:uid="{00000000-0005-0000-0000-00005A020000}"/>
    <cellStyle name="_Multiple_Property Assumptions" xfId="737" xr:uid="{00000000-0005-0000-0000-00005B020000}"/>
    <cellStyle name="_Multiple_Property Assumptions_1" xfId="738" xr:uid="{00000000-0005-0000-0000-00005C020000}"/>
    <cellStyle name="_Multiple_Quick Property Input" xfId="739" xr:uid="{00000000-0005-0000-0000-00005D020000}"/>
    <cellStyle name="_Multiple_Senario Input Assumptions" xfId="740" xr:uid="{00000000-0005-0000-0000-00005E020000}"/>
    <cellStyle name="_Multiple_Sheet1" xfId="741" xr:uid="{00000000-0005-0000-0000-00005F020000}"/>
    <cellStyle name="_Multiple_Sheet1_3-Yr Eyechart" xfId="742" xr:uid="{00000000-0005-0000-0000-000060020000}"/>
    <cellStyle name="_Multiple_Sheet1_Balance Sheet" xfId="743" xr:uid="{00000000-0005-0000-0000-000061020000}"/>
    <cellStyle name="_Multiple_Sheet1_Cost Of Funds" xfId="744" xr:uid="{00000000-0005-0000-0000-000062020000}"/>
    <cellStyle name="_Multiple_Sheet1_Criteria" xfId="745" xr:uid="{00000000-0005-0000-0000-000063020000}"/>
    <cellStyle name="_Multiple_Sheet1_Criteria Test Export" xfId="746" xr:uid="{00000000-0005-0000-0000-000064020000}"/>
    <cellStyle name="_Multiple_Sheet1_Data Tape" xfId="747" xr:uid="{00000000-0005-0000-0000-000065020000}"/>
    <cellStyle name="_Multiple_Sheet1_Data Tape_1" xfId="748" xr:uid="{00000000-0005-0000-0000-000066020000}"/>
    <cellStyle name="_Multiple_Sheet1_Data_Tape" xfId="749" xr:uid="{00000000-0005-0000-0000-000067020000}"/>
    <cellStyle name="_Multiple_Sheet1_Deal Input" xfId="750" xr:uid="{00000000-0005-0000-0000-000068020000}"/>
    <cellStyle name="_Multiple_Sheet1_Direct Cap Eye" xfId="751" xr:uid="{00000000-0005-0000-0000-000069020000}"/>
    <cellStyle name="_Multiple_Sheet1_DPEM2005_vBetatest6" xfId="752" xr:uid="{00000000-0005-0000-0000-00006A020000}"/>
    <cellStyle name="_Multiple_Sheet1_ETR" xfId="753" xr:uid="{00000000-0005-0000-0000-00006B020000}"/>
    <cellStyle name="_Multiple_Sheet1_Existing Debt" xfId="754" xr:uid="{00000000-0005-0000-0000-00006C020000}"/>
    <cellStyle name="_Multiple_Sheet1_Input" xfId="755" xr:uid="{00000000-0005-0000-0000-00006D020000}"/>
    <cellStyle name="_Multiple_Sheet1_Input_1" xfId="756" xr:uid="{00000000-0005-0000-0000-00006E020000}"/>
    <cellStyle name="_Multiple_Sheet1_Input_Data Tape" xfId="757" xr:uid="{00000000-0005-0000-0000-00006F020000}"/>
    <cellStyle name="_Multiple_Sheet1_M&amp;A Feed" xfId="758" xr:uid="{00000000-0005-0000-0000-000070020000}"/>
    <cellStyle name="_Multiple_Sheet1_NPV Case Eyechart" xfId="759" xr:uid="{00000000-0005-0000-0000-000071020000}"/>
    <cellStyle name="_Multiple_Sheet1_Pools" xfId="760" xr:uid="{00000000-0005-0000-0000-000072020000}"/>
    <cellStyle name="_Multiple_Sheet1_Pools_1" xfId="761" xr:uid="{00000000-0005-0000-0000-000073020000}"/>
    <cellStyle name="_Multiple_Sheet1_Portfolio Valuation" xfId="762" xr:uid="{00000000-0005-0000-0000-000074020000}"/>
    <cellStyle name="_Multiple_Sheet1_Prop 13" xfId="763" xr:uid="{00000000-0005-0000-0000-000075020000}"/>
    <cellStyle name="_Multiple_Sheet1_Prop 13 Data" xfId="764" xr:uid="{00000000-0005-0000-0000-000076020000}"/>
    <cellStyle name="_Multiple_Sheet1_Prop 13 Summary-11-10" xfId="765" xr:uid="{00000000-0005-0000-0000-000077020000}"/>
    <cellStyle name="_Multiple_Sheet1_Property Assumptions" xfId="766" xr:uid="{00000000-0005-0000-0000-000078020000}"/>
    <cellStyle name="_Multiple_Sheet1_Property Assumptions_1" xfId="767" xr:uid="{00000000-0005-0000-0000-000079020000}"/>
    <cellStyle name="_Multiple_Sheet1_Quick Property Input" xfId="768" xr:uid="{00000000-0005-0000-0000-00007A020000}"/>
    <cellStyle name="_Multiple_Sheet1_Senario Input Assumptions" xfId="769" xr:uid="{00000000-0005-0000-0000-00007B020000}"/>
    <cellStyle name="_Multiple_Sheet1_Sheet1" xfId="770" xr:uid="{00000000-0005-0000-0000-00007C020000}"/>
    <cellStyle name="_Multiple_Sheet1_Sheet2" xfId="771" xr:uid="{00000000-0005-0000-0000-00007D020000}"/>
    <cellStyle name="_Multiple_Sheet1_Sheet2_1" xfId="772" xr:uid="{00000000-0005-0000-0000-00007E020000}"/>
    <cellStyle name="_Multiple_Sheet1_Sheet3" xfId="773" xr:uid="{00000000-0005-0000-0000-00007F020000}"/>
    <cellStyle name="_Multiple_Sheet1_Sheet5" xfId="774" xr:uid="{00000000-0005-0000-0000-000080020000}"/>
    <cellStyle name="_Multiple_Sheet1_Structure Model_2003_test2" xfId="775" xr:uid="{00000000-0005-0000-0000-000081020000}"/>
    <cellStyle name="_Multiple_Sheet2" xfId="776" xr:uid="{00000000-0005-0000-0000-000082020000}"/>
    <cellStyle name="_Multiple_Sheet2_1" xfId="777" xr:uid="{00000000-0005-0000-0000-000083020000}"/>
    <cellStyle name="_Multiple_Sheet3" xfId="778" xr:uid="{00000000-0005-0000-0000-000084020000}"/>
    <cellStyle name="_Multiple_Sheet3_1" xfId="779" xr:uid="{00000000-0005-0000-0000-000085020000}"/>
    <cellStyle name="_Multiple_Sheet4" xfId="780" xr:uid="{00000000-0005-0000-0000-000086020000}"/>
    <cellStyle name="_Multiple_Sheet5" xfId="781" xr:uid="{00000000-0005-0000-0000-000087020000}"/>
    <cellStyle name="_Multiple_Structure Model_2003_test2" xfId="782" xr:uid="{00000000-0005-0000-0000-000088020000}"/>
    <cellStyle name="_MultipleSpace" xfId="783" xr:uid="{00000000-0005-0000-0000-000089020000}"/>
    <cellStyle name="_MultipleSpace_ARI Base Case July 25 TPS1" xfId="784" xr:uid="{00000000-0005-0000-0000-00008A020000}"/>
    <cellStyle name="_MultipleSpace_DB_Eye" xfId="785" xr:uid="{00000000-0005-0000-0000-00008B020000}"/>
    <cellStyle name="_MultipleSpace_Existing Debt" xfId="786" xr:uid="{00000000-0005-0000-0000-00008C020000}"/>
    <cellStyle name="_MultipleSpace_EyeChart" xfId="787" xr:uid="{00000000-0005-0000-0000-00008D020000}"/>
    <cellStyle name="_MultipleSpace_EyeChart 090503" xfId="788" xr:uid="{00000000-0005-0000-0000-00008E020000}"/>
    <cellStyle name="_MultipleSpace_Input" xfId="789" xr:uid="{00000000-0005-0000-0000-00008F020000}"/>
    <cellStyle name="_MultipleSpace_Input_1" xfId="790" xr:uid="{00000000-0005-0000-0000-000090020000}"/>
    <cellStyle name="_MultipleSpace_Pricing" xfId="791" xr:uid="{00000000-0005-0000-0000-000091020000}"/>
    <cellStyle name="_MultipleSpace_Sheet2" xfId="792" xr:uid="{00000000-0005-0000-0000-000092020000}"/>
    <cellStyle name="_MultipleSpace_Sheet4" xfId="793" xr:uid="{00000000-0005-0000-0000-000093020000}"/>
    <cellStyle name="_Percent" xfId="794" xr:uid="{00000000-0005-0000-0000-000094020000}"/>
    <cellStyle name="_Percent_ARI Base Case July 25 TPS1" xfId="795" xr:uid="{00000000-0005-0000-0000-000095020000}"/>
    <cellStyle name="_Percent_Existing Debt" xfId="796" xr:uid="{00000000-0005-0000-0000-000096020000}"/>
    <cellStyle name="_PercentSpace" xfId="797" xr:uid="{00000000-0005-0000-0000-000097020000}"/>
    <cellStyle name="_PercentSpace_ARI Base Case July 25 TPS1" xfId="798" xr:uid="{00000000-0005-0000-0000-000098020000}"/>
    <cellStyle name="_PercentSpace_Existing Debt" xfId="799" xr:uid="{00000000-0005-0000-0000-000099020000}"/>
    <cellStyle name="_SubHeading" xfId="800" xr:uid="{00000000-0005-0000-0000-00009A020000}"/>
    <cellStyle name="_Table" xfId="801" xr:uid="{00000000-0005-0000-0000-00009B020000}"/>
    <cellStyle name="_TableHead" xfId="802" xr:uid="{00000000-0005-0000-0000-00009C020000}"/>
    <cellStyle name="_TableRowHead" xfId="803" xr:uid="{00000000-0005-0000-0000-00009D020000}"/>
    <cellStyle name="_TableSuperHead" xfId="804" xr:uid="{00000000-0005-0000-0000-00009E020000}"/>
    <cellStyle name="0.0 x" xfId="805" xr:uid="{00000000-0005-0000-0000-0000A2020000}"/>
    <cellStyle name="000" xfId="806" xr:uid="{00000000-0005-0000-0000-0000A3020000}"/>
    <cellStyle name="1" xfId="807" xr:uid="{00000000-0005-0000-0000-0000A4020000}"/>
    <cellStyle name="1_03-05-31 Final OBS Reports" xfId="808" xr:uid="{00000000-0005-0000-0000-0000A5020000}"/>
    <cellStyle name="1_GMACCH_Loans_OBS_033103_Final_v2" xfId="809" xr:uid="{00000000-0005-0000-0000-0000A6020000}"/>
    <cellStyle name="1_Japan - 3Q02 Risk Rating Worksheet - 101602_Japan" xfId="810" xr:uid="{00000000-0005-0000-0000-0000A7020000}"/>
    <cellStyle name="1_Japan - 3Q02 Risk Rating Worksheet - 101602_Japan_Comparison vs. prior_Q2 2003" xfId="811" xr:uid="{00000000-0005-0000-0000-0000A8020000}"/>
    <cellStyle name="1_Japan - 4Q2002 - Risk Rating Worksheet_final" xfId="812" xr:uid="{00000000-0005-0000-0000-0000A9020000}"/>
    <cellStyle name="1_Japan - 4Q2002 - Risk Rating Worksheet_final_12.11.2002" xfId="813" xr:uid="{00000000-0005-0000-0000-0000AA020000}"/>
    <cellStyle name="1_Japan - 4Q2002 - Risk Rating Worksheet_final_12.11.2002_Comparison vs. prior_Q2 2003" xfId="814" xr:uid="{00000000-0005-0000-0000-0000AB020000}"/>
    <cellStyle name="1_Japan - 4Q2002 - Risk Rating Worksheet_final_Comparison vs. prior_Q2 2003" xfId="815" xr:uid="{00000000-0005-0000-0000-0000AC020000}"/>
    <cellStyle name="1_Japan-1Q2003 - Risk Rating Worksheet03.06.2003F" xfId="816" xr:uid="{00000000-0005-0000-0000-0000AD020000}"/>
    <cellStyle name="1_Japan-1Q2003 - Risk Rating Worksheet03.06.2003F_Comparison vs. prior_Q2 2003" xfId="817" xr:uid="{00000000-0005-0000-0000-0000AE020000}"/>
    <cellStyle name="1_SALEM" xfId="818" xr:uid="{00000000-0005-0000-0000-0000AF020000}"/>
    <cellStyle name="1_SALEM_03-05-31 Final OBS Reports" xfId="819" xr:uid="{00000000-0005-0000-0000-0000B0020000}"/>
    <cellStyle name="1_SALEM_GMACCH_Loans_OBS_033103_Final_v2" xfId="820" xr:uid="{00000000-0005-0000-0000-0000B1020000}"/>
    <cellStyle name="1_SALEM_Japan - 3Q02 Risk Rating Worksheet - 101602_Japan" xfId="821" xr:uid="{00000000-0005-0000-0000-0000B2020000}"/>
    <cellStyle name="1_SALEM_Japan - 3Q02 Risk Rating Worksheet - 101602_Japan_Comparison vs. prior_Q2 2003" xfId="822" xr:uid="{00000000-0005-0000-0000-0000B3020000}"/>
    <cellStyle name="1_SALEM_Japan - 4Q2002 - Risk Rating Worksheet_final" xfId="823" xr:uid="{00000000-0005-0000-0000-0000B4020000}"/>
    <cellStyle name="1_SALEM_Japan - 4Q2002 - Risk Rating Worksheet_final_12.11.2002" xfId="824" xr:uid="{00000000-0005-0000-0000-0000B5020000}"/>
    <cellStyle name="1_SALEM_Japan - 4Q2002 - Risk Rating Worksheet_final_12.11.2002_Comparison vs. prior_Q2 2003" xfId="825" xr:uid="{00000000-0005-0000-0000-0000B6020000}"/>
    <cellStyle name="1_SALEM_Japan - 4Q2002 - Risk Rating Worksheet_final_Comparison vs. prior_Q2 2003" xfId="826" xr:uid="{00000000-0005-0000-0000-0000B7020000}"/>
    <cellStyle name="1_SALEM_Japan-1Q2003 - Risk Rating Worksheet03.06.2003F" xfId="827" xr:uid="{00000000-0005-0000-0000-0000B8020000}"/>
    <cellStyle name="1_SALEM_Japan-1Q2003 - Risk Rating Worksheet03.06.2003F_Comparison vs. prior_Q2 2003" xfId="828" xr:uid="{00000000-0005-0000-0000-0000B9020000}"/>
    <cellStyle name="1_SALEM_Sheet1" xfId="829" xr:uid="{00000000-0005-0000-0000-0000BA020000}"/>
    <cellStyle name="1_SALEM_Sheet3" xfId="830" xr:uid="{00000000-0005-0000-0000-0000BB020000}"/>
    <cellStyle name="1_sec8 (2)" xfId="831" xr:uid="{00000000-0005-0000-0000-0000BC020000}"/>
    <cellStyle name="1_sec8 (2)_03-05-31 Final OBS Reports" xfId="832" xr:uid="{00000000-0005-0000-0000-0000BD020000}"/>
    <cellStyle name="1_sec8 (2)_GMACCH_Loans_OBS_033103_Final_v2" xfId="833" xr:uid="{00000000-0005-0000-0000-0000BE020000}"/>
    <cellStyle name="1_sec8 (2)_Japan - 3Q02 Risk Rating Worksheet - 101602_Japan" xfId="834" xr:uid="{00000000-0005-0000-0000-0000BF020000}"/>
    <cellStyle name="1_sec8 (2)_Japan - 3Q02 Risk Rating Worksheet - 101602_Japan_Comparison vs. prior_Q2 2003" xfId="835" xr:uid="{00000000-0005-0000-0000-0000C0020000}"/>
    <cellStyle name="1_sec8 (2)_Japan - 4Q2002 - Risk Rating Worksheet_final" xfId="836" xr:uid="{00000000-0005-0000-0000-0000C1020000}"/>
    <cellStyle name="1_sec8 (2)_Japan - 4Q2002 - Risk Rating Worksheet_final_12.11.2002" xfId="837" xr:uid="{00000000-0005-0000-0000-0000C2020000}"/>
    <cellStyle name="1_sec8 (2)_Japan - 4Q2002 - Risk Rating Worksheet_final_12.11.2002_Comparison vs. prior_Q2 2003" xfId="838" xr:uid="{00000000-0005-0000-0000-0000C3020000}"/>
    <cellStyle name="1_sec8 (2)_Japan - 4Q2002 - Risk Rating Worksheet_final_Comparison vs. prior_Q2 2003" xfId="839" xr:uid="{00000000-0005-0000-0000-0000C4020000}"/>
    <cellStyle name="1_sec8 (2)_Japan-1Q2003 - Risk Rating Worksheet03.06.2003F" xfId="840" xr:uid="{00000000-0005-0000-0000-0000C5020000}"/>
    <cellStyle name="1_sec8 (2)_Japan-1Q2003 - Risk Rating Worksheet03.06.2003F_Comparison vs. prior_Q2 2003" xfId="841" xr:uid="{00000000-0005-0000-0000-0000C6020000}"/>
    <cellStyle name="1_sec8 (2)_Sheet1" xfId="842" xr:uid="{00000000-0005-0000-0000-0000C7020000}"/>
    <cellStyle name="1_sec8 (2)_Sheet3" xfId="843" xr:uid="{00000000-0005-0000-0000-0000C8020000}"/>
    <cellStyle name="1_Sheet1" xfId="844" xr:uid="{00000000-0005-0000-0000-0000C9020000}"/>
    <cellStyle name="1_Sheet3" xfId="845" xr:uid="{00000000-0005-0000-0000-0000CA020000}"/>
    <cellStyle name="2" xfId="846" xr:uid="{00000000-0005-0000-0000-0000CB020000}"/>
    <cellStyle name="2_03-05-31 Final OBS Reports" xfId="847" xr:uid="{00000000-0005-0000-0000-0000CC020000}"/>
    <cellStyle name="2_GMACCH_Loans_OBS_033103_Final_v2" xfId="848" xr:uid="{00000000-0005-0000-0000-0000CD020000}"/>
    <cellStyle name="2_Japan - 3Q02 Risk Rating Worksheet - 101602_Japan" xfId="849" xr:uid="{00000000-0005-0000-0000-0000CE020000}"/>
    <cellStyle name="2_Japan - 3Q02 Risk Rating Worksheet - 101602_Japan_Comparison vs. prior_Q2 2003" xfId="850" xr:uid="{00000000-0005-0000-0000-0000CF020000}"/>
    <cellStyle name="2_Japan - 4Q2002 - Risk Rating Worksheet_final" xfId="851" xr:uid="{00000000-0005-0000-0000-0000D0020000}"/>
    <cellStyle name="2_Japan - 4Q2002 - Risk Rating Worksheet_final_12.11.2002" xfId="852" xr:uid="{00000000-0005-0000-0000-0000D1020000}"/>
    <cellStyle name="2_Japan - 4Q2002 - Risk Rating Worksheet_final_12.11.2002_Comparison vs. prior_Q2 2003" xfId="853" xr:uid="{00000000-0005-0000-0000-0000D2020000}"/>
    <cellStyle name="2_Japan - 4Q2002 - Risk Rating Worksheet_final_Comparison vs. prior_Q2 2003" xfId="854" xr:uid="{00000000-0005-0000-0000-0000D3020000}"/>
    <cellStyle name="2_Japan-1Q2003 - Risk Rating Worksheet03.06.2003F" xfId="855" xr:uid="{00000000-0005-0000-0000-0000D4020000}"/>
    <cellStyle name="2_Japan-1Q2003 - Risk Rating Worksheet03.06.2003F_Comparison vs. prior_Q2 2003" xfId="856" xr:uid="{00000000-0005-0000-0000-0000D5020000}"/>
    <cellStyle name="2_SALEM" xfId="857" xr:uid="{00000000-0005-0000-0000-0000D6020000}"/>
    <cellStyle name="2_SALEM_03-05-31 Final OBS Reports" xfId="858" xr:uid="{00000000-0005-0000-0000-0000D7020000}"/>
    <cellStyle name="2_SALEM_GMACCH_Loans_OBS_033103_Final_v2" xfId="859" xr:uid="{00000000-0005-0000-0000-0000D8020000}"/>
    <cellStyle name="2_SALEM_Japan - 3Q02 Risk Rating Worksheet - 101602_Japan" xfId="860" xr:uid="{00000000-0005-0000-0000-0000D9020000}"/>
    <cellStyle name="2_SALEM_Japan - 3Q02 Risk Rating Worksheet - 101602_Japan_Comparison vs. prior_Q2 2003" xfId="861" xr:uid="{00000000-0005-0000-0000-0000DA020000}"/>
    <cellStyle name="2_SALEM_Japan - 4Q2002 - Risk Rating Worksheet_final" xfId="862" xr:uid="{00000000-0005-0000-0000-0000DB020000}"/>
    <cellStyle name="2_SALEM_Japan - 4Q2002 - Risk Rating Worksheet_final_12.11.2002" xfId="863" xr:uid="{00000000-0005-0000-0000-0000DC020000}"/>
    <cellStyle name="2_SALEM_Japan - 4Q2002 - Risk Rating Worksheet_final_12.11.2002_Comparison vs. prior_Q2 2003" xfId="864" xr:uid="{00000000-0005-0000-0000-0000DD020000}"/>
    <cellStyle name="2_SALEM_Japan - 4Q2002 - Risk Rating Worksheet_final_Comparison vs. prior_Q2 2003" xfId="865" xr:uid="{00000000-0005-0000-0000-0000DE020000}"/>
    <cellStyle name="2_SALEM_Japan-1Q2003 - Risk Rating Worksheet03.06.2003F" xfId="866" xr:uid="{00000000-0005-0000-0000-0000DF020000}"/>
    <cellStyle name="2_SALEM_Japan-1Q2003 - Risk Rating Worksheet03.06.2003F_Comparison vs. prior_Q2 2003" xfId="867" xr:uid="{00000000-0005-0000-0000-0000E0020000}"/>
    <cellStyle name="2_SALEM_Sheet1" xfId="868" xr:uid="{00000000-0005-0000-0000-0000E1020000}"/>
    <cellStyle name="2_SALEM_Sheet3" xfId="869" xr:uid="{00000000-0005-0000-0000-0000E2020000}"/>
    <cellStyle name="2_Sheet1" xfId="870" xr:uid="{00000000-0005-0000-0000-0000E3020000}"/>
    <cellStyle name="2_Sheet3" xfId="871" xr:uid="{00000000-0005-0000-0000-0000E4020000}"/>
    <cellStyle name="3" xfId="872" xr:uid="{00000000-0005-0000-0000-0000E5020000}"/>
    <cellStyle name="3$" xfId="873" xr:uid="{00000000-0005-0000-0000-0000F2020000}"/>
    <cellStyle name="3_03-05-31 Final OBS Reports" xfId="874" xr:uid="{00000000-0005-0000-0000-0000E6020000}"/>
    <cellStyle name="3_GMACCH_Loans_OBS_033103_Final_v2" xfId="875" xr:uid="{00000000-0005-0000-0000-0000E7020000}"/>
    <cellStyle name="3_Japan - 3Q02 Risk Rating Worksheet - 101602_Japan" xfId="876" xr:uid="{00000000-0005-0000-0000-0000E8020000}"/>
    <cellStyle name="3_Japan - 3Q02 Risk Rating Worksheet - 101602_Japan_Comparison vs. prior_Q2 2003" xfId="877" xr:uid="{00000000-0005-0000-0000-0000E9020000}"/>
    <cellStyle name="3_Japan - 4Q2002 - Risk Rating Worksheet_final" xfId="878" xr:uid="{00000000-0005-0000-0000-0000EA020000}"/>
    <cellStyle name="3_Japan - 4Q2002 - Risk Rating Worksheet_final_12.11.2002" xfId="879" xr:uid="{00000000-0005-0000-0000-0000EB020000}"/>
    <cellStyle name="3_Japan - 4Q2002 - Risk Rating Worksheet_final_12.11.2002_Comparison vs. prior_Q2 2003" xfId="880" xr:uid="{00000000-0005-0000-0000-0000EC020000}"/>
    <cellStyle name="3_Japan - 4Q2002 - Risk Rating Worksheet_final_Comparison vs. prior_Q2 2003" xfId="881" xr:uid="{00000000-0005-0000-0000-0000ED020000}"/>
    <cellStyle name="3_Japan-1Q2003 - Risk Rating Worksheet03.06.2003F" xfId="882" xr:uid="{00000000-0005-0000-0000-0000EE020000}"/>
    <cellStyle name="3_Japan-1Q2003 - Risk Rating Worksheet03.06.2003F_Comparison vs. prior_Q2 2003" xfId="883" xr:uid="{00000000-0005-0000-0000-0000EF020000}"/>
    <cellStyle name="3_Sheet1" xfId="884" xr:uid="{00000000-0005-0000-0000-0000F0020000}"/>
    <cellStyle name="3_Sheet3" xfId="885" xr:uid="{00000000-0005-0000-0000-0000F1020000}"/>
    <cellStyle name="A" xfId="886" xr:uid="{00000000-0005-0000-0000-0000F3020000}"/>
    <cellStyle name="Actual Date" xfId="887" xr:uid="{00000000-0005-0000-0000-0000F4020000}"/>
    <cellStyle name="AFE" xfId="888" xr:uid="{00000000-0005-0000-0000-0000F5020000}"/>
    <cellStyle name="ag" xfId="889" xr:uid="{00000000-0005-0000-0000-0000F6020000}"/>
    <cellStyle name="args.style" xfId="890" xr:uid="{00000000-0005-0000-0000-0000F7020000}"/>
    <cellStyle name="Arial 10" xfId="891" xr:uid="{00000000-0005-0000-0000-0000F8020000}"/>
    <cellStyle name="Arial 12" xfId="892" xr:uid="{00000000-0005-0000-0000-0000F9020000}"/>
    <cellStyle name="BLACK" xfId="893" xr:uid="{00000000-0005-0000-0000-0000FA020000}"/>
    <cellStyle name="Blank[,]" xfId="894" xr:uid="{00000000-0005-0000-0000-0000FB020000}"/>
    <cellStyle name="Blank[1%]" xfId="895" xr:uid="{00000000-0005-0000-0000-0000FC020000}"/>
    <cellStyle name="Blue" xfId="896" xr:uid="{00000000-0005-0000-0000-0000FD020000}"/>
    <cellStyle name="blue currency" xfId="897" xr:uid="{00000000-0005-0000-0000-0000FE020000}"/>
    <cellStyle name="BLUE date" xfId="898" xr:uid="{00000000-0005-0000-0000-0000FF020000}"/>
    <cellStyle name="blue$00" xfId="899" xr:uid="{00000000-0005-0000-0000-000001030000}"/>
    <cellStyle name="BLUE_Citrix_2pgr2" xfId="900" xr:uid="{00000000-0005-0000-0000-000000030000}"/>
    <cellStyle name="Body" xfId="901" xr:uid="{00000000-0005-0000-0000-000002030000}"/>
    <cellStyle name="BOLD, 8 POINT" xfId="902" xr:uid="{00000000-0005-0000-0000-000003030000}"/>
    <cellStyle name="BoldItalicNoUnderline" xfId="903" xr:uid="{00000000-0005-0000-0000-000004030000}"/>
    <cellStyle name="BoldSDoubUnderlineBack" xfId="904" xr:uid="{00000000-0005-0000-0000-000005030000}"/>
    <cellStyle name="BoldSingUnderline" xfId="905" xr:uid="{00000000-0005-0000-0000-000006030000}"/>
    <cellStyle name="Border Heavy" xfId="906" xr:uid="{00000000-0005-0000-0000-000007030000}"/>
    <cellStyle name="Border Thin" xfId="907" xr:uid="{00000000-0005-0000-0000-000008030000}"/>
    <cellStyle name="bottomHeavy" xfId="908" xr:uid="{00000000-0005-0000-0000-000009030000}"/>
    <cellStyle name="bottomHeavy-w-left" xfId="909" xr:uid="{00000000-0005-0000-0000-00000A030000}"/>
    <cellStyle name="brad" xfId="910" xr:uid="{00000000-0005-0000-0000-00000B030000}"/>
    <cellStyle name="British Pound" xfId="911" xr:uid="{00000000-0005-0000-0000-00000C030000}"/>
    <cellStyle name="Ç¥ÁØ_¿ù°£¿ä¾àº¸°í" xfId="912" xr:uid="{00000000-0005-0000-0000-00000D030000}"/>
    <cellStyle name="Calc Currency (0)" xfId="913" xr:uid="{00000000-0005-0000-0000-00000E030000}"/>
    <cellStyle name="Calc Currency (2)" xfId="914" xr:uid="{00000000-0005-0000-0000-00000F030000}"/>
    <cellStyle name="Calc Percent (0)" xfId="915" xr:uid="{00000000-0005-0000-0000-000010030000}"/>
    <cellStyle name="Calc Percent (1)" xfId="916" xr:uid="{00000000-0005-0000-0000-000011030000}"/>
    <cellStyle name="Calc Percent (2)" xfId="917" xr:uid="{00000000-0005-0000-0000-000012030000}"/>
    <cellStyle name="Calc Units (0)" xfId="918" xr:uid="{00000000-0005-0000-0000-000013030000}"/>
    <cellStyle name="Calc Units (1)" xfId="919" xr:uid="{00000000-0005-0000-0000-000014030000}"/>
    <cellStyle name="Calc Units (2)" xfId="920" xr:uid="{00000000-0005-0000-0000-000015030000}"/>
    <cellStyle name="caps 0.00" xfId="921" xr:uid="{00000000-0005-0000-0000-000016030000}"/>
    <cellStyle name="capsdate" xfId="922" xr:uid="{00000000-0005-0000-0000-000017030000}"/>
    <cellStyle name="Case" xfId="923" xr:uid="{00000000-0005-0000-0000-000018030000}"/>
    <cellStyle name="Cash Flow Statement" xfId="924" xr:uid="{00000000-0005-0000-0000-000019030000}"/>
    <cellStyle name="Center Across" xfId="925" xr:uid="{00000000-0005-0000-0000-00001A030000}"/>
    <cellStyle name="colheadleft" xfId="926" xr:uid="{00000000-0005-0000-0000-00001B030000}"/>
    <cellStyle name="colheadright" xfId="927" xr:uid="{00000000-0005-0000-0000-00001C030000}"/>
    <cellStyle name="Column Heading" xfId="928" xr:uid="{00000000-0005-0000-0000-00001D030000}"/>
    <cellStyle name="ColumnHeading" xfId="929" xr:uid="{00000000-0005-0000-0000-00001E030000}"/>
    <cellStyle name="Comma" xfId="1360" builtinId="3"/>
    <cellStyle name="Comma [00]" xfId="930" xr:uid="{00000000-0005-0000-0000-000020030000}"/>
    <cellStyle name="Comma [1]" xfId="931" xr:uid="{00000000-0005-0000-0000-000021030000}"/>
    <cellStyle name="Comma 0" xfId="932" xr:uid="{00000000-0005-0000-0000-000022030000}"/>
    <cellStyle name="Comma 0*" xfId="933" xr:uid="{00000000-0005-0000-0000-000023030000}"/>
    <cellStyle name="Comma 2" xfId="3" xr:uid="{00000000-0005-0000-0000-000024030000}"/>
    <cellStyle name="Comma 2 10" xfId="22" xr:uid="{00000000-0005-0000-0000-000025030000}"/>
    <cellStyle name="Comma 2 2" xfId="11" xr:uid="{00000000-0005-0000-0000-000026030000}"/>
    <cellStyle name="Comma 3" xfId="17" xr:uid="{00000000-0005-0000-0000-000027030000}"/>
    <cellStyle name="Comma 4" xfId="20" xr:uid="{00000000-0005-0000-0000-000028030000}"/>
    <cellStyle name="Comma 5" xfId="934" xr:uid="{00000000-0005-0000-0000-000029030000}"/>
    <cellStyle name="Comma 6" xfId="935" xr:uid="{00000000-0005-0000-0000-00002A030000}"/>
    <cellStyle name="Comma 7" xfId="936" xr:uid="{00000000-0005-0000-0000-00002B030000}"/>
    <cellStyle name="Comma 8" xfId="1350" xr:uid="{00000000-0005-0000-0000-00002C030000}"/>
    <cellStyle name="Comma 9" xfId="1359" xr:uid="{DC164E84-3E58-4E35-9903-251FD07BA1A7}"/>
    <cellStyle name="Comma0" xfId="937" xr:uid="{00000000-0005-0000-0000-00002D030000}"/>
    <cellStyle name="Comma0 - Style3" xfId="938" xr:uid="{00000000-0005-0000-0000-00002E030000}"/>
    <cellStyle name="Comma0 - Style5" xfId="939" xr:uid="{00000000-0005-0000-0000-00002F030000}"/>
    <cellStyle name="Comma0_Criteria" xfId="940" xr:uid="{00000000-0005-0000-0000-000030030000}"/>
    <cellStyle name="Comma1 - Style1" xfId="941" xr:uid="{00000000-0005-0000-0000-000031030000}"/>
    <cellStyle name="CommaFixed" xfId="942" xr:uid="{00000000-0005-0000-0000-000032030000}"/>
    <cellStyle name="CommaNoDec" xfId="943" xr:uid="{00000000-0005-0000-0000-000033030000}"/>
    <cellStyle name="CommaNoDecTot" xfId="944" xr:uid="{00000000-0005-0000-0000-000034030000}"/>
    <cellStyle name="CommaTotTop" xfId="945" xr:uid="{00000000-0005-0000-0000-000035030000}"/>
    <cellStyle name="CommaTotTopNoDec" xfId="946" xr:uid="{00000000-0005-0000-0000-000036030000}"/>
    <cellStyle name="Copied" xfId="947" xr:uid="{00000000-0005-0000-0000-000037030000}"/>
    <cellStyle name="COST1" xfId="948" xr:uid="{00000000-0005-0000-0000-000038030000}"/>
    <cellStyle name="Curren - Style2" xfId="949" xr:uid="{00000000-0005-0000-0000-000039030000}"/>
    <cellStyle name="Curren - Style4" xfId="950" xr:uid="{00000000-0005-0000-0000-00003A030000}"/>
    <cellStyle name="Currency" xfId="18" builtinId="4"/>
    <cellStyle name="Currency [00]" xfId="951" xr:uid="{00000000-0005-0000-0000-00003C030000}"/>
    <cellStyle name="Currency [2]" xfId="952" xr:uid="{00000000-0005-0000-0000-00003D030000}"/>
    <cellStyle name="Currency 0" xfId="953" xr:uid="{00000000-0005-0000-0000-00003E030000}"/>
    <cellStyle name="Currency 2" xfId="4" xr:uid="{00000000-0005-0000-0000-00003F030000}"/>
    <cellStyle name="Currency 2 2" xfId="12" xr:uid="{00000000-0005-0000-0000-000040030000}"/>
    <cellStyle name="Currency 2 3" xfId="1355" xr:uid="{00000000-0005-0000-0000-000041030000}"/>
    <cellStyle name="Currency 3" xfId="954" xr:uid="{00000000-0005-0000-0000-000042030000}"/>
    <cellStyle name="Currency 4" xfId="955" xr:uid="{00000000-0005-0000-0000-000043030000}"/>
    <cellStyle name="Currency 5" xfId="956" xr:uid="{00000000-0005-0000-0000-000044030000}"/>
    <cellStyle name="Currency 6" xfId="957" xr:uid="{00000000-0005-0000-0000-000045030000}"/>
    <cellStyle name="Currency 7" xfId="958" xr:uid="{00000000-0005-0000-0000-000046030000}"/>
    <cellStyle name="Currency 8" xfId="1358" xr:uid="{E3B2DBE1-D04C-412B-9A10-6043A65E5AC8}"/>
    <cellStyle name="Currency0" xfId="959" xr:uid="{00000000-0005-0000-0000-000047030000}"/>
    <cellStyle name="Currency1" xfId="960" xr:uid="{00000000-0005-0000-0000-000048030000}"/>
    <cellStyle name="CurrencyTotTop[" xfId="961" xr:uid="{00000000-0005-0000-0000-000049030000}"/>
    <cellStyle name="D" xfId="962" xr:uid="{00000000-0005-0000-0000-00004A030000}"/>
    <cellStyle name="Date" xfId="963" xr:uid="{00000000-0005-0000-0000-00004B030000}"/>
    <cellStyle name="Date Aligned" xfId="964" xr:uid="{00000000-0005-0000-0000-00004C030000}"/>
    <cellStyle name="date month-year" xfId="965" xr:uid="{00000000-0005-0000-0000-00004D030000}"/>
    <cellStyle name="Date Short" xfId="966" xr:uid="{00000000-0005-0000-0000-00004E030000}"/>
    <cellStyle name="date_09.01.01_Property_Tax_Basis1" xfId="967" xr:uid="{00000000-0005-0000-0000-00004F030000}"/>
    <cellStyle name="Date1" xfId="968" xr:uid="{00000000-0005-0000-0000-000050030000}"/>
    <cellStyle name="DATETIME" xfId="969" xr:uid="{00000000-0005-0000-0000-000051030000}"/>
    <cellStyle name="decimal 0" xfId="970" xr:uid="{00000000-0005-0000-0000-000052030000}"/>
    <cellStyle name="decimal 1" xfId="971" xr:uid="{00000000-0005-0000-0000-000053030000}"/>
    <cellStyle name="decimal 2" xfId="972" xr:uid="{00000000-0005-0000-0000-000054030000}"/>
    <cellStyle name="Dollar" xfId="973" xr:uid="{00000000-0005-0000-0000-000055030000}"/>
    <cellStyle name="Dollar1" xfId="974" xr:uid="{00000000-0005-0000-0000-000056030000}"/>
    <cellStyle name="Dollar1Blue" xfId="975" xr:uid="{00000000-0005-0000-0000-000057030000}"/>
    <cellStyle name="Dollar2" xfId="976" xr:uid="{00000000-0005-0000-0000-000058030000}"/>
    <cellStyle name="Dotted Line" xfId="977" xr:uid="{00000000-0005-0000-0000-000059030000}"/>
    <cellStyle name="Double Accounting" xfId="978" xr:uid="{00000000-0005-0000-0000-00005A030000}"/>
    <cellStyle name="dp*Accent" xfId="979" xr:uid="{00000000-0005-0000-0000-00005B030000}"/>
    <cellStyle name="dp*ChartSubTitle" xfId="980" xr:uid="{00000000-0005-0000-0000-00005C030000}"/>
    <cellStyle name="dp*ChartTitle" xfId="981" xr:uid="{00000000-0005-0000-0000-00005D030000}"/>
    <cellStyle name="dp*ColumnHeading1" xfId="982" xr:uid="{00000000-0005-0000-0000-00005E030000}"/>
    <cellStyle name="dp*ColumnHeading2" xfId="983" xr:uid="{00000000-0005-0000-0000-00005F030000}"/>
    <cellStyle name="dp*ColumnHeadingDate" xfId="984" xr:uid="{00000000-0005-0000-0000-000060030000}"/>
    <cellStyle name="dp*FiscalDate" xfId="985" xr:uid="{00000000-0005-0000-0000-000061030000}"/>
    <cellStyle name="dp*Footnote" xfId="986" xr:uid="{00000000-0005-0000-0000-000062030000}"/>
    <cellStyle name="dp*Information" xfId="987" xr:uid="{00000000-0005-0000-0000-000063030000}"/>
    <cellStyle name="dp*LabelItalics" xfId="988" xr:uid="{00000000-0005-0000-0000-000064030000}"/>
    <cellStyle name="dp*LabelItalicsLineAbove" xfId="989" xr:uid="{00000000-0005-0000-0000-000065030000}"/>
    <cellStyle name="dp*LabelLine" xfId="990" xr:uid="{00000000-0005-0000-0000-000066030000}"/>
    <cellStyle name="dp*Labels" xfId="991" xr:uid="{00000000-0005-0000-0000-000067030000}"/>
    <cellStyle name="dp*Normal" xfId="992" xr:uid="{00000000-0005-0000-0000-000068030000}"/>
    <cellStyle name="dp*NormalCurrency1Dec." xfId="993" xr:uid="{00000000-0005-0000-0000-000069030000}"/>
    <cellStyle name="dp*NormalCurrency2Dec." xfId="994" xr:uid="{00000000-0005-0000-0000-00006A030000}"/>
    <cellStyle name="dp*Number%Italics" xfId="995" xr:uid="{00000000-0005-0000-0000-00006B030000}"/>
    <cellStyle name="dp*Number%ItalicsLineAbove" xfId="996" xr:uid="{00000000-0005-0000-0000-00006C030000}"/>
    <cellStyle name="dp*NumberCurrencyLine" xfId="997" xr:uid="{00000000-0005-0000-0000-00006D030000}"/>
    <cellStyle name="dp*NumberGeneral" xfId="998" xr:uid="{00000000-0005-0000-0000-00006E030000}"/>
    <cellStyle name="dp*NumberGeneral2Dec." xfId="999" xr:uid="{00000000-0005-0000-0000-00006F030000}"/>
    <cellStyle name="dp*NumberLine" xfId="1000" xr:uid="{00000000-0005-0000-0000-000070030000}"/>
    <cellStyle name="dp*NumberLineEPS" xfId="1001" xr:uid="{00000000-0005-0000-0000-000071030000}"/>
    <cellStyle name="dp*NumberSpecial" xfId="1002" xr:uid="{00000000-0005-0000-0000-000072030000}"/>
    <cellStyle name="dp*RatioX" xfId="1003" xr:uid="{00000000-0005-0000-0000-000073030000}"/>
    <cellStyle name="dp*SeriesName" xfId="1004" xr:uid="{00000000-0005-0000-0000-000074030000}"/>
    <cellStyle name="dp*SheetSubTitle" xfId="1005" xr:uid="{00000000-0005-0000-0000-000075030000}"/>
    <cellStyle name="dp*SheetTitle" xfId="1006" xr:uid="{00000000-0005-0000-0000-000076030000}"/>
    <cellStyle name="dp*SubTitle" xfId="1007" xr:uid="{00000000-0005-0000-0000-000077030000}"/>
    <cellStyle name="dp*ThickLineAbove" xfId="1008" xr:uid="{00000000-0005-0000-0000-000078030000}"/>
    <cellStyle name="dp*ThickLineBelow" xfId="1009" xr:uid="{00000000-0005-0000-0000-000079030000}"/>
    <cellStyle name="dp*ThinLineAbove" xfId="1010" xr:uid="{00000000-0005-0000-0000-00007A030000}"/>
    <cellStyle name="dp*ThinLineBelow" xfId="1011" xr:uid="{00000000-0005-0000-0000-00007B030000}"/>
    <cellStyle name="dp*XAxisTitle" xfId="1012" xr:uid="{00000000-0005-0000-0000-00007C030000}"/>
    <cellStyle name="dp*Y2AxisTitle" xfId="1013" xr:uid="{00000000-0005-0000-0000-00007D030000}"/>
    <cellStyle name="dp*YAxisTitle" xfId="1014" xr:uid="{00000000-0005-0000-0000-00007E030000}"/>
    <cellStyle name="Driver" xfId="1015" xr:uid="{00000000-0005-0000-0000-00007F030000}"/>
    <cellStyle name="Enter Currency (0)" xfId="1016" xr:uid="{00000000-0005-0000-0000-000080030000}"/>
    <cellStyle name="Enter Currency (2)" xfId="1017" xr:uid="{00000000-0005-0000-0000-000081030000}"/>
    <cellStyle name="Enter Units (0)" xfId="1018" xr:uid="{00000000-0005-0000-0000-000082030000}"/>
    <cellStyle name="Enter Units (1)" xfId="1019" xr:uid="{00000000-0005-0000-0000-000083030000}"/>
    <cellStyle name="Enter Units (2)" xfId="1020" xr:uid="{00000000-0005-0000-0000-000084030000}"/>
    <cellStyle name="Entered" xfId="1021" xr:uid="{00000000-0005-0000-0000-000085030000}"/>
    <cellStyle name="Euro" xfId="1022" xr:uid="{00000000-0005-0000-0000-000086030000}"/>
    <cellStyle name="EvenBodyShade" xfId="1023" xr:uid="{00000000-0005-0000-0000-000087030000}"/>
    <cellStyle name="EvenBodyShade 2" xfId="1024" xr:uid="{00000000-0005-0000-0000-000088030000}"/>
    <cellStyle name="EvenBodyShade 3" xfId="1025" xr:uid="{00000000-0005-0000-0000-000089030000}"/>
    <cellStyle name="EvenBodyShade 4" xfId="1026" xr:uid="{00000000-0005-0000-0000-00008A030000}"/>
    <cellStyle name="EvenBodyShade 5" xfId="1027" xr:uid="{00000000-0005-0000-0000-00008B030000}"/>
    <cellStyle name="EvenBodyShade 9" xfId="1028" xr:uid="{00000000-0005-0000-0000-00008C030000}"/>
    <cellStyle name="EY House" xfId="1029" xr:uid="{00000000-0005-0000-0000-00008D030000}"/>
    <cellStyle name="F1" xfId="1030" xr:uid="{00000000-0005-0000-0000-00008E030000}"/>
    <cellStyle name="Fixed" xfId="1031" xr:uid="{00000000-0005-0000-0000-00008F030000}"/>
    <cellStyle name="Fixed4 - Style4" xfId="1032" xr:uid="{00000000-0005-0000-0000-000090030000}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18" builtinId="9" hidden="1"/>
    <cellStyle name="Followed Hyperlink" xfId="102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70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26" builtinId="9" hidden="1"/>
    <cellStyle name="Followed Hyperlink" xfId="27" builtinId="9" hidden="1"/>
    <cellStyle name="Followed Hyperlink" xfId="25" builtinId="9" hidden="1"/>
    <cellStyle name="Footnote" xfId="1033" xr:uid="{00000000-0005-0000-0000-0000FD030000}"/>
    <cellStyle name="general" xfId="1034" xr:uid="{00000000-0005-0000-0000-0000FE030000}"/>
    <cellStyle name="Good 2" xfId="1345" xr:uid="{00000000-0005-0000-0000-0000FF030000}"/>
    <cellStyle name="GrandTotal" xfId="1035" xr:uid="{00000000-0005-0000-0000-000000040000}"/>
    <cellStyle name="Grey" xfId="1036" xr:uid="{00000000-0005-0000-0000-000001040000}"/>
    <cellStyle name="Hard Percent" xfId="1037" xr:uid="{00000000-0005-0000-0000-000002040000}"/>
    <cellStyle name="Head 1" xfId="1038" xr:uid="{00000000-0005-0000-0000-000003040000}"/>
    <cellStyle name="Head0" xfId="1039" xr:uid="{00000000-0005-0000-0000-000004040000}"/>
    <cellStyle name="Head1" xfId="1040" xr:uid="{00000000-0005-0000-0000-000005040000}"/>
    <cellStyle name="Head2" xfId="1041" xr:uid="{00000000-0005-0000-0000-000006040000}"/>
    <cellStyle name="Head3" xfId="1042" xr:uid="{00000000-0005-0000-0000-000007040000}"/>
    <cellStyle name="Head4" xfId="1043" xr:uid="{00000000-0005-0000-0000-000008040000}"/>
    <cellStyle name="Head5" xfId="1044" xr:uid="{00000000-0005-0000-0000-000009040000}"/>
    <cellStyle name="Head6" xfId="1045" xr:uid="{00000000-0005-0000-0000-00000A040000}"/>
    <cellStyle name="Head7" xfId="1046" xr:uid="{00000000-0005-0000-0000-00000B040000}"/>
    <cellStyle name="Head8" xfId="1047" xr:uid="{00000000-0005-0000-0000-00000C040000}"/>
    <cellStyle name="Head9" xfId="1048" xr:uid="{00000000-0005-0000-0000-00000D040000}"/>
    <cellStyle name="HEADER" xfId="1049" xr:uid="{00000000-0005-0000-0000-00000E040000}"/>
    <cellStyle name="Header1" xfId="1050" xr:uid="{00000000-0005-0000-0000-00000F040000}"/>
    <cellStyle name="Header2" xfId="1051" xr:uid="{00000000-0005-0000-0000-000010040000}"/>
    <cellStyle name="Heading" xfId="1052" xr:uid="{00000000-0005-0000-0000-000011040000}"/>
    <cellStyle name="Heading 2 2" xfId="1351" xr:uid="{00000000-0005-0000-0000-000012040000}"/>
    <cellStyle name="Heading Left" xfId="1053" xr:uid="{00000000-0005-0000-0000-000013040000}"/>
    <cellStyle name="Heading Right" xfId="1054" xr:uid="{00000000-0005-0000-0000-000014040000}"/>
    <cellStyle name="Heading1" xfId="1055" xr:uid="{00000000-0005-0000-0000-000015040000}"/>
    <cellStyle name="Heading2" xfId="1056" xr:uid="{00000000-0005-0000-0000-000016040000}"/>
    <cellStyle name="HeadingS" xfId="1057" xr:uid="{00000000-0005-0000-0000-000017040000}"/>
    <cellStyle name="HEADINGSTOP" xfId="1058" xr:uid="{00000000-0005-0000-0000-000018040000}"/>
    <cellStyle name="Headline" xfId="1059" xr:uid="{00000000-0005-0000-0000-000019040000}"/>
    <cellStyle name="HeadShade" xfId="1060" xr:uid="{00000000-0005-0000-0000-00001A040000}"/>
    <cellStyle name="HeadShade 2" xfId="1061" xr:uid="{00000000-0005-0000-0000-00001B040000}"/>
    <cellStyle name="HeadShade 3" xfId="1062" xr:uid="{00000000-0005-0000-0000-00001C040000}"/>
    <cellStyle name="HeadShade 4" xfId="1063" xr:uid="{00000000-0005-0000-0000-00001D040000}"/>
    <cellStyle name="HeadShade 5" xfId="1064" xr:uid="{00000000-0005-0000-0000-00001E040000}"/>
    <cellStyle name="HeadShade 9" xfId="1065" xr:uid="{00000000-0005-0000-0000-00001F040000}"/>
    <cellStyle name="helv narrow 8" xfId="1066" xr:uid="{00000000-0005-0000-0000-000020040000}"/>
    <cellStyle name="Hidden" xfId="1067" xr:uid="{00000000-0005-0000-0000-000021040000}"/>
    <cellStyle name="Hide" xfId="1068" xr:uid="{00000000-0005-0000-0000-000022040000}"/>
    <cellStyle name="HIGHLIGHT" xfId="1069" xr:uid="{00000000-0005-0000-0000-000023040000}"/>
    <cellStyle name="Hyperlink" xfId="1343" builtinId="8" hidden="1"/>
    <cellStyle name="Hyperlink" xfId="1341" builtinId="8" hidden="1"/>
    <cellStyle name="Hyperlink 2" xfId="1357" xr:uid="{3D23AB57-93B8-4255-940A-082865DDDD0E}"/>
    <cellStyle name="I" xfId="1070" xr:uid="{00000000-0005-0000-0000-000026040000}"/>
    <cellStyle name="Input [yellow]" xfId="1071" xr:uid="{00000000-0005-0000-0000-000027040000}"/>
    <cellStyle name="Input Comma" xfId="1072" xr:uid="{00000000-0005-0000-0000-000028040000}"/>
    <cellStyle name="Input Comma [0]" xfId="1073" xr:uid="{00000000-0005-0000-0000-000029040000}"/>
    <cellStyle name="Input Currency" xfId="1074" xr:uid="{00000000-0005-0000-0000-00002A040000}"/>
    <cellStyle name="Input Currency [0]" xfId="1075" xr:uid="{00000000-0005-0000-0000-00002B040000}"/>
    <cellStyle name="Input Percent" xfId="1076" xr:uid="{00000000-0005-0000-0000-00002C040000}"/>
    <cellStyle name="Input Percent [0]" xfId="1077" xr:uid="{00000000-0005-0000-0000-00002D040000}"/>
    <cellStyle name="Inputs" xfId="1078" xr:uid="{00000000-0005-0000-0000-00002E040000}"/>
    <cellStyle name="Italics" xfId="1079" xr:uid="{00000000-0005-0000-0000-00002F040000}"/>
    <cellStyle name="Lable8Left" xfId="1080" xr:uid="{00000000-0005-0000-0000-000030040000}"/>
    <cellStyle name="left" xfId="1081" xr:uid="{00000000-0005-0000-0000-000031040000}"/>
    <cellStyle name="Ligne" xfId="1082" xr:uid="{00000000-0005-0000-0000-000032040000}"/>
    <cellStyle name="Lines" xfId="1083" xr:uid="{00000000-0005-0000-0000-000033040000}"/>
    <cellStyle name="Link Currency (0)" xfId="1084" xr:uid="{00000000-0005-0000-0000-000034040000}"/>
    <cellStyle name="Link Currency (2)" xfId="1085" xr:uid="{00000000-0005-0000-0000-000035040000}"/>
    <cellStyle name="Link Units (0)" xfId="1086" xr:uid="{00000000-0005-0000-0000-000036040000}"/>
    <cellStyle name="Link Units (1)" xfId="1087" xr:uid="{00000000-0005-0000-0000-000037040000}"/>
    <cellStyle name="Link Units (2)" xfId="1088" xr:uid="{00000000-0005-0000-0000-000038040000}"/>
    <cellStyle name="Linked" xfId="1089" xr:uid="{00000000-0005-0000-0000-000039040000}"/>
    <cellStyle name="LISAM" xfId="1090" xr:uid="{00000000-0005-0000-0000-00003A040000}"/>
    <cellStyle name="M" xfId="1091" xr:uid="{00000000-0005-0000-0000-00003B040000}"/>
    <cellStyle name="Margins" xfId="1092" xr:uid="{00000000-0005-0000-0000-00003C040000}"/>
    <cellStyle name="Migliaia (0)_Foglio1 (2)" xfId="1093" xr:uid="{00000000-0005-0000-0000-00003D040000}"/>
    <cellStyle name="Migliaia_Foglio1 (2)" xfId="1094" xr:uid="{00000000-0005-0000-0000-00003E040000}"/>
    <cellStyle name="Millares [0]_results" xfId="1095" xr:uid="{00000000-0005-0000-0000-00003F040000}"/>
    <cellStyle name="Millares_results" xfId="1096" xr:uid="{00000000-0005-0000-0000-000040040000}"/>
    <cellStyle name="Milliers [0]_!!!GO" xfId="1097" xr:uid="{00000000-0005-0000-0000-000041040000}"/>
    <cellStyle name="Milliers_!!!GO" xfId="1098" xr:uid="{00000000-0005-0000-0000-000042040000}"/>
    <cellStyle name="Moeda [0]_Arrendamiraflores" xfId="1099" xr:uid="{00000000-0005-0000-0000-000043040000}"/>
    <cellStyle name="Moeda_Arrendamiraflores" xfId="1100" xr:uid="{00000000-0005-0000-0000-000044040000}"/>
    <cellStyle name="Moneda [0]_results" xfId="1101" xr:uid="{00000000-0005-0000-0000-000045040000}"/>
    <cellStyle name="Moneda_results" xfId="1102" xr:uid="{00000000-0005-0000-0000-000046040000}"/>
    <cellStyle name="Monétaire [0]_!!!GO" xfId="1103" xr:uid="{00000000-0005-0000-0000-000047040000}"/>
    <cellStyle name="Monétaire_!!!GO" xfId="1104" xr:uid="{00000000-0005-0000-0000-000048040000}"/>
    <cellStyle name="MSectionHeadings" xfId="1105" xr:uid="{00000000-0005-0000-0000-000049040000}"/>
    <cellStyle name="Multiple" xfId="1106" xr:uid="{00000000-0005-0000-0000-00004A040000}"/>
    <cellStyle name="Multiple (no x)" xfId="1107" xr:uid="{00000000-0005-0000-0000-00004B040000}"/>
    <cellStyle name="Multiple (with x)" xfId="1108" xr:uid="{00000000-0005-0000-0000-00004C040000}"/>
    <cellStyle name="Multiple_09.01.01_Property_Tax_Basis1" xfId="1109" xr:uid="{00000000-0005-0000-0000-00004D040000}"/>
    <cellStyle name="no dec" xfId="1110" xr:uid="{00000000-0005-0000-0000-00004E040000}"/>
    <cellStyle name="nodle1" xfId="1111" xr:uid="{00000000-0005-0000-0000-00004F040000}"/>
    <cellStyle name="Normal" xfId="0" builtinId="0"/>
    <cellStyle name="Normal - Style1" xfId="1112" xr:uid="{00000000-0005-0000-0000-000051040000}"/>
    <cellStyle name="Normal 10" xfId="1347" xr:uid="{00000000-0005-0000-0000-000052040000}"/>
    <cellStyle name="Normal 11" xfId="1348" xr:uid="{00000000-0005-0000-0000-000053040000}"/>
    <cellStyle name="Normal 12" xfId="1352" xr:uid="{00000000-0005-0000-0000-000054040000}"/>
    <cellStyle name="Normal 13" xfId="1349" xr:uid="{00000000-0005-0000-0000-000055040000}"/>
    <cellStyle name="Normal 2" xfId="2" xr:uid="{00000000-0005-0000-0000-000056040000}"/>
    <cellStyle name="Normal 2 2" xfId="5" xr:uid="{00000000-0005-0000-0000-000057040000}"/>
    <cellStyle name="Normal 2 3" xfId="9" xr:uid="{00000000-0005-0000-0000-000058040000}"/>
    <cellStyle name="Normal 2 4" xfId="1356" xr:uid="{00000000-0005-0000-0000-000059040000}"/>
    <cellStyle name="Normal 3" xfId="6" xr:uid="{00000000-0005-0000-0000-00005A040000}"/>
    <cellStyle name="Normal 3 3" xfId="21" xr:uid="{00000000-0005-0000-0000-00005B040000}"/>
    <cellStyle name="Normal 4" xfId="15" xr:uid="{00000000-0005-0000-0000-00005C040000}"/>
    <cellStyle name="Normal 4 2" xfId="23" xr:uid="{00000000-0005-0000-0000-00005D040000}"/>
    <cellStyle name="Normal 5" xfId="19" xr:uid="{00000000-0005-0000-0000-00005E040000}"/>
    <cellStyle name="Normal 6" xfId="127" xr:uid="{00000000-0005-0000-0000-00005F040000}"/>
    <cellStyle name="Normal 6 2" xfId="1334" xr:uid="{00000000-0005-0000-0000-000060040000}"/>
    <cellStyle name="Normal 6 3" xfId="1353" xr:uid="{00000000-0005-0000-0000-000061040000}"/>
    <cellStyle name="Normal 7" xfId="129" xr:uid="{00000000-0005-0000-0000-000062040000}"/>
    <cellStyle name="Normal 7 2" xfId="1332" xr:uid="{00000000-0005-0000-0000-000063040000}"/>
    <cellStyle name="Normal 7 3" xfId="1339" xr:uid="{00000000-0005-0000-0000-000064040000}"/>
    <cellStyle name="Normal 8" xfId="1113" xr:uid="{00000000-0005-0000-0000-000065040000}"/>
    <cellStyle name="Normal 9" xfId="1331" xr:uid="{00000000-0005-0000-0000-000066040000}"/>
    <cellStyle name="Normal_Simple pro-forma" xfId="14" xr:uid="{00000000-0005-0000-0000-000068040000}"/>
    <cellStyle name="NormalBack" xfId="1114" xr:uid="{00000000-0005-0000-0000-00006A040000}"/>
    <cellStyle name="NormalBorder" xfId="1115" xr:uid="{00000000-0005-0000-0000-00006B040000}"/>
    <cellStyle name="Normale_INVENTARIO AL 31.12.99 Con composizioni2BUSSI" xfId="1116" xr:uid="{00000000-0005-0000-0000-00006C040000}"/>
    <cellStyle name="NormalGB" xfId="1117" xr:uid="{00000000-0005-0000-0000-00006D040000}"/>
    <cellStyle name="NormalLeft" xfId="1118" xr:uid="{00000000-0005-0000-0000-00006E040000}"/>
    <cellStyle name="NormalNumber%" xfId="1119" xr:uid="{00000000-0005-0000-0000-00006F040000}"/>
    <cellStyle name="NormalRightNum" xfId="1120" xr:uid="{00000000-0005-0000-0000-000070040000}"/>
    <cellStyle name="NormalRightPercent" xfId="1121" xr:uid="{00000000-0005-0000-0000-000071040000}"/>
    <cellStyle name="nPlode" xfId="1122" xr:uid="{00000000-0005-0000-0000-000072040000}"/>
    <cellStyle name="nPlode1" xfId="1123" xr:uid="{00000000-0005-0000-0000-000073040000}"/>
    <cellStyle name="nPlode2" xfId="1124" xr:uid="{00000000-0005-0000-0000-000074040000}"/>
    <cellStyle name="nPlode3" xfId="1125" xr:uid="{00000000-0005-0000-0000-000075040000}"/>
    <cellStyle name="nPlosion" xfId="1126" xr:uid="{00000000-0005-0000-0000-000076040000}"/>
    <cellStyle name="NPRO" xfId="1127" xr:uid="{00000000-0005-0000-0000-000077040000}"/>
    <cellStyle name="Num0Un" xfId="1128" xr:uid="{00000000-0005-0000-0000-000078040000}"/>
    <cellStyle name="Num1" xfId="1129" xr:uid="{00000000-0005-0000-0000-000079040000}"/>
    <cellStyle name="Num1Blue" xfId="1130" xr:uid="{00000000-0005-0000-0000-00007A040000}"/>
    <cellStyle name="Num2" xfId="1131" xr:uid="{00000000-0005-0000-0000-00007B040000}"/>
    <cellStyle name="Num2Un" xfId="1132" xr:uid="{00000000-0005-0000-0000-00007C040000}"/>
    <cellStyle name="Number" xfId="1133" xr:uid="{00000000-0005-0000-0000-00007D040000}"/>
    <cellStyle name="OddBodyShade" xfId="1134" xr:uid="{00000000-0005-0000-0000-00007E040000}"/>
    <cellStyle name="OddBodyShade 2" xfId="1135" xr:uid="{00000000-0005-0000-0000-00007F040000}"/>
    <cellStyle name="OddBodyShade 3" xfId="1136" xr:uid="{00000000-0005-0000-0000-000080040000}"/>
    <cellStyle name="OddBodyShade 4" xfId="1137" xr:uid="{00000000-0005-0000-0000-000081040000}"/>
    <cellStyle name="OddBodyShade 5" xfId="1138" xr:uid="{00000000-0005-0000-0000-000082040000}"/>
    <cellStyle name="OddBodyShade 9" xfId="1139" xr:uid="{00000000-0005-0000-0000-000083040000}"/>
    <cellStyle name="Œ…‹æØ‚è [0.00]_!!!GO" xfId="1140" xr:uid="{00000000-0005-0000-0000-000084040000}"/>
    <cellStyle name="Œ…‹æØ‚è_!!!GO" xfId="1141" xr:uid="{00000000-0005-0000-0000-000085040000}"/>
    <cellStyle name="One Pager Input" xfId="1142" xr:uid="{00000000-0005-0000-0000-000086040000}"/>
    <cellStyle name="OutlineSpec" xfId="1143" xr:uid="{00000000-0005-0000-0000-000087040000}"/>
    <cellStyle name="Output Amounts" xfId="1144" xr:uid="{00000000-0005-0000-0000-000088040000}"/>
    <cellStyle name="Output Column Headings" xfId="1145" xr:uid="{00000000-0005-0000-0000-000089040000}"/>
    <cellStyle name="Output Line Items" xfId="1146" xr:uid="{00000000-0005-0000-0000-00008A040000}"/>
    <cellStyle name="Output Report Heading" xfId="1147" xr:uid="{00000000-0005-0000-0000-00008B040000}"/>
    <cellStyle name="Output Report Title" xfId="1148" xr:uid="{00000000-0005-0000-0000-00008C040000}"/>
    <cellStyle name="Overscore" xfId="1149" xr:uid="{00000000-0005-0000-0000-00008D040000}"/>
    <cellStyle name="Overscore 2" xfId="1150" xr:uid="{00000000-0005-0000-0000-00008E040000}"/>
    <cellStyle name="Overscore 3" xfId="1151" xr:uid="{00000000-0005-0000-0000-00008F040000}"/>
    <cellStyle name="Overscore 4" xfId="1152" xr:uid="{00000000-0005-0000-0000-000090040000}"/>
    <cellStyle name="Overscore 5" xfId="1153" xr:uid="{00000000-0005-0000-0000-000091040000}"/>
    <cellStyle name="Overscore 9" xfId="1154" xr:uid="{00000000-0005-0000-0000-000092040000}"/>
    <cellStyle name="Overunder" xfId="1155" xr:uid="{00000000-0005-0000-0000-000093040000}"/>
    <cellStyle name="P" xfId="1156" xr:uid="{00000000-0005-0000-0000-000094040000}"/>
    <cellStyle name="Page Heading" xfId="1157" xr:uid="{00000000-0005-0000-0000-000095040000}"/>
    <cellStyle name="Page Heading Large" xfId="1158" xr:uid="{00000000-0005-0000-0000-000096040000}"/>
    <cellStyle name="Page Heading Small" xfId="1159" xr:uid="{00000000-0005-0000-0000-000097040000}"/>
    <cellStyle name="Page Number" xfId="1160" xr:uid="{00000000-0005-0000-0000-000098040000}"/>
    <cellStyle name="Page Title (Blue/Gray)" xfId="1161" xr:uid="{00000000-0005-0000-0000-000099040000}"/>
    <cellStyle name="patterns" xfId="1162" xr:uid="{00000000-0005-0000-0000-00009A040000}"/>
    <cellStyle name="PB Table Heading" xfId="1163" xr:uid="{00000000-0005-0000-0000-00009B040000}"/>
    <cellStyle name="PB Table Highlight1" xfId="1164" xr:uid="{00000000-0005-0000-0000-00009C040000}"/>
    <cellStyle name="PB Table Highlight2" xfId="1165" xr:uid="{00000000-0005-0000-0000-00009D040000}"/>
    <cellStyle name="PB Table Highlight3" xfId="1166" xr:uid="{00000000-0005-0000-0000-00009E040000}"/>
    <cellStyle name="PB Table Standard Row" xfId="1167" xr:uid="{00000000-0005-0000-0000-00009F040000}"/>
    <cellStyle name="PB Table Subtotal Row" xfId="1168" xr:uid="{00000000-0005-0000-0000-0000A0040000}"/>
    <cellStyle name="PB Table Total Row" xfId="1169" xr:uid="{00000000-0005-0000-0000-0000A1040000}"/>
    <cellStyle name="pb_page_heading_LS" xfId="1170" xr:uid="{00000000-0005-0000-0000-0000A2040000}"/>
    <cellStyle name="per.style" xfId="1171" xr:uid="{00000000-0005-0000-0000-0000A3040000}"/>
    <cellStyle name="Perc1" xfId="1172" xr:uid="{00000000-0005-0000-0000-0000A4040000}"/>
    <cellStyle name="Percen - Style1" xfId="1173" xr:uid="{00000000-0005-0000-0000-0000A5040000}"/>
    <cellStyle name="Percen - Style2" xfId="1174" xr:uid="{00000000-0005-0000-0000-0000A6040000}"/>
    <cellStyle name="Percen - Style3" xfId="1175" xr:uid="{00000000-0005-0000-0000-0000A7040000}"/>
    <cellStyle name="Percent" xfId="1" builtinId="5"/>
    <cellStyle name="Percent [0%]" xfId="1176" xr:uid="{00000000-0005-0000-0000-0000AB040000}"/>
    <cellStyle name="Percent [0.00%]" xfId="1177" xr:uid="{00000000-0005-0000-0000-0000A9040000}"/>
    <cellStyle name="Percent [0]" xfId="1178" xr:uid="{00000000-0005-0000-0000-0000AA040000}"/>
    <cellStyle name="Percent [00]" xfId="1179" xr:uid="{00000000-0005-0000-0000-0000AC040000}"/>
    <cellStyle name="Percent [2]" xfId="1180" xr:uid="{00000000-0005-0000-0000-0000AD040000}"/>
    <cellStyle name="percent 1 decimal" xfId="1181" xr:uid="{00000000-0005-0000-0000-0000AE040000}"/>
    <cellStyle name="Percent 2" xfId="7" xr:uid="{00000000-0005-0000-0000-0000AF040000}"/>
    <cellStyle name="Percent 2 2" xfId="8" xr:uid="{00000000-0005-0000-0000-0000B0040000}"/>
    <cellStyle name="Percent 2 2 2" xfId="24" xr:uid="{00000000-0005-0000-0000-0000B1040000}"/>
    <cellStyle name="Percent 2 3" xfId="10" xr:uid="{00000000-0005-0000-0000-0000B2040000}"/>
    <cellStyle name="percent 2 decimal" xfId="1182" xr:uid="{00000000-0005-0000-0000-0000B3040000}"/>
    <cellStyle name="Percent 3" xfId="13" xr:uid="{00000000-0005-0000-0000-0000B4040000}"/>
    <cellStyle name="Percent 4" xfId="16" xr:uid="{00000000-0005-0000-0000-0000B5040000}"/>
    <cellStyle name="Percent 5" xfId="128" xr:uid="{00000000-0005-0000-0000-0000B6040000}"/>
    <cellStyle name="Percent 5 2" xfId="1335" xr:uid="{00000000-0005-0000-0000-0000B7040000}"/>
    <cellStyle name="Percent 5 3" xfId="1354" xr:uid="{00000000-0005-0000-0000-0000B8040000}"/>
    <cellStyle name="Percent 6" xfId="130" xr:uid="{00000000-0005-0000-0000-0000B9040000}"/>
    <cellStyle name="Percent 6 2" xfId="1333" xr:uid="{00000000-0005-0000-0000-0000BA040000}"/>
    <cellStyle name="Percent 6 3" xfId="1340" xr:uid="{00000000-0005-0000-0000-0000BB040000}"/>
    <cellStyle name="Percent Hard" xfId="1183" xr:uid="{00000000-0005-0000-0000-0000BC040000}"/>
    <cellStyle name="percent no decimal" xfId="1184" xr:uid="{00000000-0005-0000-0000-0000BD040000}"/>
    <cellStyle name="Percent(4places)TotTop" xfId="1185" xr:uid="{00000000-0005-0000-0000-0000BE040000}"/>
    <cellStyle name="Percent1" xfId="1186" xr:uid="{00000000-0005-0000-0000-0000BF040000}"/>
    <cellStyle name="Percent1Blue" xfId="1187" xr:uid="{00000000-0005-0000-0000-0000C0040000}"/>
    <cellStyle name="Percent2" xfId="1188" xr:uid="{00000000-0005-0000-0000-0000C1040000}"/>
    <cellStyle name="Percent2Blue" xfId="1189" xr:uid="{00000000-0005-0000-0000-0000C2040000}"/>
    <cellStyle name="PercentTotal" xfId="1190" xr:uid="{00000000-0005-0000-0000-0000C3040000}"/>
    <cellStyle name="Pounds" xfId="1191" xr:uid="{00000000-0005-0000-0000-0000C4040000}"/>
    <cellStyle name="Pourcentage_agree" xfId="1192" xr:uid="{00000000-0005-0000-0000-0000C5040000}"/>
    <cellStyle name="PrePop Currency (0)" xfId="1193" xr:uid="{00000000-0005-0000-0000-0000C6040000}"/>
    <cellStyle name="PrePop Currency (2)" xfId="1194" xr:uid="{00000000-0005-0000-0000-0000C7040000}"/>
    <cellStyle name="PrePop Units (0)" xfId="1195" xr:uid="{00000000-0005-0000-0000-0000C8040000}"/>
    <cellStyle name="PrePop Units (1)" xfId="1196" xr:uid="{00000000-0005-0000-0000-0000C9040000}"/>
    <cellStyle name="PrePop Units (2)" xfId="1197" xr:uid="{00000000-0005-0000-0000-0000CA040000}"/>
    <cellStyle name="Price" xfId="1198" xr:uid="{00000000-0005-0000-0000-0000CB040000}"/>
    <cellStyle name="PriceUn" xfId="1199" xr:uid="{00000000-0005-0000-0000-0000CC040000}"/>
    <cellStyle name="pricing" xfId="1200" xr:uid="{00000000-0005-0000-0000-0000CD040000}"/>
    <cellStyle name="PSChar" xfId="1201" xr:uid="{00000000-0005-0000-0000-0000CE040000}"/>
    <cellStyle name="PSDate" xfId="1202" xr:uid="{00000000-0005-0000-0000-0000CF040000}"/>
    <cellStyle name="PSDec" xfId="1203" xr:uid="{00000000-0005-0000-0000-0000D0040000}"/>
    <cellStyle name="PSHeading" xfId="1204" xr:uid="{00000000-0005-0000-0000-0000D1040000}"/>
    <cellStyle name="PSInt" xfId="1205" xr:uid="{00000000-0005-0000-0000-0000D2040000}"/>
    <cellStyle name="PSSpacer" xfId="1206" xr:uid="{00000000-0005-0000-0000-0000D3040000}"/>
    <cellStyle name="Reg1" xfId="1207" xr:uid="{00000000-0005-0000-0000-0000D4040000}"/>
    <cellStyle name="Reg2" xfId="1208" xr:uid="{00000000-0005-0000-0000-0000D5040000}"/>
    <cellStyle name="Reg3" xfId="1209" xr:uid="{00000000-0005-0000-0000-0000D6040000}"/>
    <cellStyle name="Reg4" xfId="1210" xr:uid="{00000000-0005-0000-0000-0000D7040000}"/>
    <cellStyle name="Reg5" xfId="1211" xr:uid="{00000000-0005-0000-0000-0000D8040000}"/>
    <cellStyle name="Reg6" xfId="1212" xr:uid="{00000000-0005-0000-0000-0000D9040000}"/>
    <cellStyle name="Reg7" xfId="1213" xr:uid="{00000000-0005-0000-0000-0000DA040000}"/>
    <cellStyle name="Reg8" xfId="1214" xr:uid="{00000000-0005-0000-0000-0000DB040000}"/>
    <cellStyle name="Reg9" xfId="1215" xr:uid="{00000000-0005-0000-0000-0000DC040000}"/>
    <cellStyle name="regstoresfromspecstores" xfId="1216" xr:uid="{00000000-0005-0000-0000-0000DD040000}"/>
    <cellStyle name="RevList" xfId="1217" xr:uid="{00000000-0005-0000-0000-0000DE040000}"/>
    <cellStyle name="Right" xfId="1218" xr:uid="{00000000-0005-0000-0000-0000DF040000}"/>
    <cellStyle name="s" xfId="1219" xr:uid="{00000000-0005-0000-0000-0000E0040000}"/>
    <cellStyle name="Salomon Logo" xfId="1220" xr:uid="{00000000-0005-0000-0000-0000E1040000}"/>
    <cellStyle name="ScotchRule" xfId="1221" xr:uid="{00000000-0005-0000-0000-0000E2040000}"/>
    <cellStyle name="Second Heading_dynex lihtcperm" xfId="1222" xr:uid="{00000000-0005-0000-0000-0000E3040000}"/>
    <cellStyle name="Separador de milhares [0]_Arrendamiraflores" xfId="1223" xr:uid="{00000000-0005-0000-0000-0000E4040000}"/>
    <cellStyle name="Shaded" xfId="1224" xr:uid="{00000000-0005-0000-0000-0000E5040000}"/>
    <cellStyle name="SHADEDSTORES" xfId="1225" xr:uid="{00000000-0005-0000-0000-0000E6040000}"/>
    <cellStyle name="Single Accounting" xfId="1226" xr:uid="{00000000-0005-0000-0000-0000E7040000}"/>
    <cellStyle name="Small Page Heading" xfId="1227" xr:uid="{00000000-0005-0000-0000-0000E8040000}"/>
    <cellStyle name="Sous-Total" xfId="1228" xr:uid="{00000000-0005-0000-0000-0000E9040000}"/>
    <cellStyle name="SpecialHeader" xfId="1229" xr:uid="{00000000-0005-0000-0000-0000EA040000}"/>
    <cellStyle name="specstores" xfId="1230" xr:uid="{00000000-0005-0000-0000-0000EB040000}"/>
    <cellStyle name="Standaard_Almere" xfId="1231" xr:uid="{00000000-0005-0000-0000-0000EC040000}"/>
    <cellStyle name="Standard_1CC-N-12" xfId="1232" xr:uid="{00000000-0005-0000-0000-0000ED040000}"/>
    <cellStyle name="Style 1" xfId="1233" xr:uid="{00000000-0005-0000-0000-0000EE040000}"/>
    <cellStyle name="Style１" xfId="1234" xr:uid="{00000000-0005-0000-0000-0000EF040000}"/>
    <cellStyle name="subhead" xfId="1235" xr:uid="{00000000-0005-0000-0000-0000F0040000}"/>
    <cellStyle name="SubHeader" xfId="1236" xr:uid="{00000000-0005-0000-0000-0000F1040000}"/>
    <cellStyle name="Subscribers" xfId="1237" xr:uid="{00000000-0005-0000-0000-0000F2040000}"/>
    <cellStyle name="Subtitle" xfId="1238" xr:uid="{00000000-0005-0000-0000-0000F3040000}"/>
    <cellStyle name="SubTotal" xfId="1239" xr:uid="{00000000-0005-0000-0000-0000F4040000}"/>
    <cellStyle name="T" xfId="1240" xr:uid="{00000000-0005-0000-0000-0000F5040000}"/>
    <cellStyle name="Table Col Head" xfId="1241" xr:uid="{00000000-0005-0000-0000-0000F6040000}"/>
    <cellStyle name="Table Head" xfId="1242" xr:uid="{00000000-0005-0000-0000-0000F7040000}"/>
    <cellStyle name="Table Head Aligned" xfId="1243" xr:uid="{00000000-0005-0000-0000-0000F8040000}"/>
    <cellStyle name="Table Head Blue" xfId="1244" xr:uid="{00000000-0005-0000-0000-0000F9040000}"/>
    <cellStyle name="Table Head Green" xfId="1245" xr:uid="{00000000-0005-0000-0000-0000FA040000}"/>
    <cellStyle name="Table Head_Alamosa Bids II" xfId="1246" xr:uid="{00000000-0005-0000-0000-0000FB040000}"/>
    <cellStyle name="Table Heading" xfId="1247" xr:uid="{00000000-0005-0000-0000-0000FC040000}"/>
    <cellStyle name="Table Sub Head" xfId="1248" xr:uid="{00000000-0005-0000-0000-0000FD040000}"/>
    <cellStyle name="Table Text" xfId="1249" xr:uid="{00000000-0005-0000-0000-0000FE040000}"/>
    <cellStyle name="Table Title" xfId="1250" xr:uid="{00000000-0005-0000-0000-0000FF040000}"/>
    <cellStyle name="Table Units" xfId="1251" xr:uid="{00000000-0005-0000-0000-000000050000}"/>
    <cellStyle name="Table_Header" xfId="1252" xr:uid="{00000000-0005-0000-0000-000001050000}"/>
    <cellStyle name="TableBody_sbcpac" xfId="1253" xr:uid="{00000000-0005-0000-0000-000002050000}"/>
    <cellStyle name="Text 1" xfId="1254" xr:uid="{00000000-0005-0000-0000-000003050000}"/>
    <cellStyle name="Text 8" xfId="1255" xr:uid="{00000000-0005-0000-0000-000004050000}"/>
    <cellStyle name="Text Head 1" xfId="1256" xr:uid="{00000000-0005-0000-0000-000005050000}"/>
    <cellStyle name="Text Indent A" xfId="1257" xr:uid="{00000000-0005-0000-0000-000006050000}"/>
    <cellStyle name="Text Indent B" xfId="1258" xr:uid="{00000000-0005-0000-0000-000007050000}"/>
    <cellStyle name="Text Indent C" xfId="1259" xr:uid="{00000000-0005-0000-0000-000008050000}"/>
    <cellStyle name="TIME" xfId="1260" xr:uid="{00000000-0005-0000-0000-000009050000}"/>
    <cellStyle name="Times 10" xfId="1261" xr:uid="{00000000-0005-0000-0000-00000A050000}"/>
    <cellStyle name="Times 12" xfId="1262" xr:uid="{00000000-0005-0000-0000-00000B050000}"/>
    <cellStyle name="Times New Roman" xfId="1263" xr:uid="{00000000-0005-0000-0000-00000C050000}"/>
    <cellStyle name="times roman" xfId="1264" xr:uid="{00000000-0005-0000-0000-00000D050000}"/>
    <cellStyle name="Title1" xfId="1265" xr:uid="{00000000-0005-0000-0000-00000E050000}"/>
    <cellStyle name="Title10" xfId="1266" xr:uid="{00000000-0005-0000-0000-00000F050000}"/>
    <cellStyle name="Title2" xfId="1267" xr:uid="{00000000-0005-0000-0000-000010050000}"/>
    <cellStyle name="Title8" xfId="1268" xr:uid="{00000000-0005-0000-0000-000011050000}"/>
    <cellStyle name="Title8Left" xfId="1269" xr:uid="{00000000-0005-0000-0000-000012050000}"/>
    <cellStyle name="TitleCenter" xfId="1270" xr:uid="{00000000-0005-0000-0000-000013050000}"/>
    <cellStyle name="TitleLeft" xfId="1271" xr:uid="{00000000-0005-0000-0000-000014050000}"/>
    <cellStyle name="TitleOther" xfId="1272" xr:uid="{00000000-0005-0000-0000-000015050000}"/>
    <cellStyle name="Titolo1" xfId="1273" xr:uid="{00000000-0005-0000-0000-000016050000}"/>
    <cellStyle name="Titolo2" xfId="1274" xr:uid="{00000000-0005-0000-0000-000017050000}"/>
    <cellStyle name="Titolo3" xfId="1275" xr:uid="{00000000-0005-0000-0000-000018050000}"/>
    <cellStyle name="topline" xfId="1276" xr:uid="{00000000-0005-0000-0000-000019050000}"/>
    <cellStyle name="TopThick" xfId="1277" xr:uid="{00000000-0005-0000-0000-00001A050000}"/>
    <cellStyle name="Total1" xfId="1278" xr:uid="{00000000-0005-0000-0000-00001B050000}"/>
    <cellStyle name="Total2" xfId="1279" xr:uid="{00000000-0005-0000-0000-00001C050000}"/>
    <cellStyle name="Total3" xfId="1280" xr:uid="{00000000-0005-0000-0000-00001D050000}"/>
    <cellStyle name="Total4" xfId="1281" xr:uid="{00000000-0005-0000-0000-00001E050000}"/>
    <cellStyle name="Total5" xfId="1282" xr:uid="{00000000-0005-0000-0000-00001F050000}"/>
    <cellStyle name="Total6" xfId="1283" xr:uid="{00000000-0005-0000-0000-000020050000}"/>
    <cellStyle name="Total7" xfId="1284" xr:uid="{00000000-0005-0000-0000-000021050000}"/>
    <cellStyle name="Total8" xfId="1285" xr:uid="{00000000-0005-0000-0000-000022050000}"/>
    <cellStyle name="Total9" xfId="1286" xr:uid="{00000000-0005-0000-0000-000023050000}"/>
    <cellStyle name="Totals" xfId="1287" xr:uid="{00000000-0005-0000-0000-000024050000}"/>
    <cellStyle name="TotalsComma" xfId="1288" xr:uid="{00000000-0005-0000-0000-000025050000}"/>
    <cellStyle name="TotShade" xfId="1289" xr:uid="{00000000-0005-0000-0000-000026050000}"/>
    <cellStyle name="TotShade 2" xfId="1290" xr:uid="{00000000-0005-0000-0000-000027050000}"/>
    <cellStyle name="TotShade 3" xfId="1291" xr:uid="{00000000-0005-0000-0000-000028050000}"/>
    <cellStyle name="TotShade 4" xfId="1292" xr:uid="{00000000-0005-0000-0000-000029050000}"/>
    <cellStyle name="TotShade 5" xfId="1293" xr:uid="{00000000-0005-0000-0000-00002A050000}"/>
    <cellStyle name="TotShade 9" xfId="1294" xr:uid="{00000000-0005-0000-0000-00002B050000}"/>
    <cellStyle name="TransVal" xfId="1295" xr:uid="{00000000-0005-0000-0000-00002C050000}"/>
    <cellStyle name="ubordinated Debt" xfId="1296" xr:uid="{00000000-0005-0000-0000-00002D050000}"/>
    <cellStyle name="underline 1 decimal" xfId="1297" xr:uid="{00000000-0005-0000-0000-00002E050000}"/>
    <cellStyle name="underline 2 decimals" xfId="1298" xr:uid="{00000000-0005-0000-0000-00002F050000}"/>
    <cellStyle name="underline flush left" xfId="1299" xr:uid="{00000000-0005-0000-0000-000030050000}"/>
    <cellStyle name="underline no decimals" xfId="1300" xr:uid="{00000000-0005-0000-0000-000031050000}"/>
    <cellStyle name="Underline_Single" xfId="1301" xr:uid="{00000000-0005-0000-0000-000032050000}"/>
    <cellStyle name="Underscore" xfId="1302" xr:uid="{00000000-0005-0000-0000-000033050000}"/>
    <cellStyle name="Underscore 2" xfId="1303" xr:uid="{00000000-0005-0000-0000-000034050000}"/>
    <cellStyle name="Underscore 3" xfId="1304" xr:uid="{00000000-0005-0000-0000-000035050000}"/>
    <cellStyle name="Underscore 4" xfId="1305" xr:uid="{00000000-0005-0000-0000-000036050000}"/>
    <cellStyle name="Underscore 5" xfId="1306" xr:uid="{00000000-0005-0000-0000-000037050000}"/>
    <cellStyle name="Underscore 9" xfId="1307" xr:uid="{00000000-0005-0000-0000-000038050000}"/>
    <cellStyle name="Unprot" xfId="1308" xr:uid="{00000000-0005-0000-0000-000039050000}"/>
    <cellStyle name="Unprot$" xfId="1309" xr:uid="{00000000-0005-0000-0000-00003A050000}"/>
    <cellStyle name="Unprotect" xfId="1310" xr:uid="{00000000-0005-0000-0000-00003B050000}"/>
    <cellStyle name="User_Defined_A" xfId="1311" xr:uid="{00000000-0005-0000-0000-00003C050000}"/>
    <cellStyle name="Valuta (0)_Foglio1 (2)" xfId="1312" xr:uid="{00000000-0005-0000-0000-00003D050000}"/>
    <cellStyle name="Valuta_Foglio1 (2)" xfId="1313" xr:uid="{00000000-0005-0000-0000-00003E050000}"/>
    <cellStyle name="Vírgula_Arrendamiraflores" xfId="1314" xr:uid="{00000000-0005-0000-0000-00003F050000}"/>
    <cellStyle name="White" xfId="1315" xr:uid="{00000000-0005-0000-0000-000040050000}"/>
    <cellStyle name="y" xfId="1316" xr:uid="{00000000-0005-0000-0000-000041050000}"/>
    <cellStyle name="y_Citrix_2pgr2" xfId="1317" xr:uid="{00000000-0005-0000-0000-000042050000}"/>
    <cellStyle name="y_Iron-Steel" xfId="1318" xr:uid="{00000000-0005-0000-0000-000043050000}"/>
    <cellStyle name="y_MERQ_6-14_V8" xfId="1319" xr:uid="{00000000-0005-0000-0000-000044050000}"/>
    <cellStyle name="y_RATL_SRNA synergies" xfId="1320" xr:uid="{00000000-0005-0000-0000-000045050000}"/>
    <cellStyle name="y_Valuation_Jan2" xfId="1321" xr:uid="{00000000-0005-0000-0000-000046050000}"/>
    <cellStyle name="year" xfId="1322" xr:uid="{00000000-0005-0000-0000-000047050000}"/>
    <cellStyle name="Yen" xfId="1323" xr:uid="{00000000-0005-0000-0000-000048050000}"/>
    <cellStyle name="YES NO" xfId="1324" xr:uid="{00000000-0005-0000-0000-000049050000}"/>
    <cellStyle name="型番" xfId="1325" xr:uid="{00000000-0005-0000-0000-00004A050000}"/>
    <cellStyle name="桁区切り [0.00]_Book2" xfId="1326" xr:uid="{00000000-0005-0000-0000-00004B050000}"/>
    <cellStyle name="桁区切り_AssetBalance Template" xfId="1327" xr:uid="{00000000-0005-0000-0000-00004C050000}"/>
    <cellStyle name="標準_1Q01SS-backup_Megalon 3Q2" xfId="1328" xr:uid="{00000000-0005-0000-0000-00004D050000}"/>
    <cellStyle name="通貨 [0.00]_Book2" xfId="1329" xr:uid="{00000000-0005-0000-0000-00004E050000}"/>
    <cellStyle name="通貨_Book2" xfId="1330" xr:uid="{00000000-0005-0000-0000-00004F050000}"/>
  </cellStyles>
  <dxfs count="1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2024388</xdr:colOff>
      <xdr:row>52</xdr:row>
      <xdr:rowOff>97598</xdr:rowOff>
    </xdr:from>
    <xdr:to>
      <xdr:col>17</xdr:col>
      <xdr:colOff>151721</xdr:colOff>
      <xdr:row>76</xdr:row>
      <xdr:rowOff>54507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60EBD6C-970F-49E1-8619-4BCF2546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9463413" y="21481223"/>
          <a:ext cx="6671258" cy="475751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</xdr:col>
      <xdr:colOff>100407</xdr:colOff>
      <xdr:row>36</xdr:row>
      <xdr:rowOff>27214</xdr:rowOff>
    </xdr:from>
    <xdr:to>
      <xdr:col>10</xdr:col>
      <xdr:colOff>1559864</xdr:colOff>
      <xdr:row>52</xdr:row>
      <xdr:rowOff>65035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00C387D-1614-4D2C-BA70-76BA2176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910032" y="18210439"/>
          <a:ext cx="8079332" cy="323822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10</xdr:col>
      <xdr:colOff>1976437</xdr:colOff>
      <xdr:row>36</xdr:row>
      <xdr:rowOff>83769</xdr:rowOff>
    </xdr:from>
    <xdr:to>
      <xdr:col>19</xdr:col>
      <xdr:colOff>344193</xdr:colOff>
      <xdr:row>51</xdr:row>
      <xdr:rowOff>28405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9FEDC92-6C48-4357-8B91-15495385B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9472612" y="18266994"/>
          <a:ext cx="7864181" cy="294501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637334</xdr:colOff>
      <xdr:row>56</xdr:row>
      <xdr:rowOff>57832</xdr:rowOff>
    </xdr:from>
    <xdr:to>
      <xdr:col>10</xdr:col>
      <xdr:colOff>1057928</xdr:colOff>
      <xdr:row>72</xdr:row>
      <xdr:rowOff>168425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ED2C5C-4D53-4305-AB82-A9445D82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637334" y="22241557"/>
          <a:ext cx="7850094" cy="3310992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19</xdr:col>
      <xdr:colOff>521677</xdr:colOff>
      <xdr:row>34</xdr:row>
      <xdr:rowOff>168495</xdr:rowOff>
    </xdr:from>
    <xdr:to>
      <xdr:col>25</xdr:col>
      <xdr:colOff>1096994</xdr:colOff>
      <xdr:row>53</xdr:row>
      <xdr:rowOff>92834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5FBD0E-54C8-4D34-B616-6A55BD40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18571552" y="17951670"/>
          <a:ext cx="9195442" cy="3724813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</xdr:col>
      <xdr:colOff>593147</xdr:colOff>
      <xdr:row>83</xdr:row>
      <xdr:rowOff>15151</xdr:rowOff>
    </xdr:from>
    <xdr:to>
      <xdr:col>10</xdr:col>
      <xdr:colOff>2817602</xdr:colOff>
      <xdr:row>99</xdr:row>
      <xdr:rowOff>126853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66FB103-C018-404E-B7D3-FA8A5A98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1402772" y="27599551"/>
          <a:ext cx="8844330" cy="3312102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11</xdr:col>
      <xdr:colOff>374755</xdr:colOff>
      <xdr:row>82</xdr:row>
      <xdr:rowOff>113434</xdr:rowOff>
    </xdr:from>
    <xdr:to>
      <xdr:col>20</xdr:col>
      <xdr:colOff>1169533</xdr:colOff>
      <xdr:row>99</xdr:row>
      <xdr:rowOff>29484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6EE5E0-0154-4CCF-B19D-9B907411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/>
      </xdr:blipFill>
      <xdr:spPr>
        <a:xfrm>
          <a:off x="9842605" y="27497809"/>
          <a:ext cx="8652903" cy="3316476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20</xdr:col>
      <xdr:colOff>2285068</xdr:colOff>
      <xdr:row>81</xdr:row>
      <xdr:rowOff>40997</xdr:rowOff>
    </xdr:from>
    <xdr:to>
      <xdr:col>27</xdr:col>
      <xdr:colOff>422225</xdr:colOff>
      <xdr:row>98</xdr:row>
      <xdr:rowOff>188151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C6BF9A1-4485-4152-8057-93A69E00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/>
      </xdr:blipFill>
      <xdr:spPr>
        <a:xfrm>
          <a:off x="24078268" y="27225347"/>
          <a:ext cx="9414757" cy="354758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11</xdr:col>
      <xdr:colOff>88014</xdr:colOff>
      <xdr:row>101</xdr:row>
      <xdr:rowOff>114398</xdr:rowOff>
    </xdr:from>
    <xdr:to>
      <xdr:col>21</xdr:col>
      <xdr:colOff>451671</xdr:colOff>
      <xdr:row>122</xdr:row>
      <xdr:rowOff>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10273F1-6119-4FEE-A8C0-D3E96426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/>
      </xdr:blipFill>
      <xdr:spPr>
        <a:xfrm>
          <a:off x="9555864" y="31299248"/>
          <a:ext cx="9564807" cy="4086128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</xdr:col>
      <xdr:colOff>342035</xdr:colOff>
      <xdr:row>102</xdr:row>
      <xdr:rowOff>47624</xdr:rowOff>
    </xdr:from>
    <xdr:to>
      <xdr:col>10</xdr:col>
      <xdr:colOff>2543963</xdr:colOff>
      <xdr:row>122</xdr:row>
      <xdr:rowOff>40191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354964D-14E9-4201-BB3C-11A9C02E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/>
      </xdr:blipFill>
      <xdr:spPr>
        <a:xfrm>
          <a:off x="1151660" y="31432499"/>
          <a:ext cx="8821803" cy="3993067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19</xdr:col>
      <xdr:colOff>760691</xdr:colOff>
      <xdr:row>55</xdr:row>
      <xdr:rowOff>189464</xdr:rowOff>
    </xdr:from>
    <xdr:to>
      <xdr:col>25</xdr:col>
      <xdr:colOff>1236831</xdr:colOff>
      <xdr:row>75</xdr:row>
      <xdr:rowOff>68878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0238AA-6D44-430A-BADD-FBE807B3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10566" y="22173164"/>
          <a:ext cx="9096265" cy="3879913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26</xdr:col>
      <xdr:colOff>404815</xdr:colOff>
      <xdr:row>35</xdr:row>
      <xdr:rowOff>116796</xdr:rowOff>
    </xdr:from>
    <xdr:to>
      <xdr:col>33</xdr:col>
      <xdr:colOff>598983</xdr:colOff>
      <xdr:row>53</xdr:row>
      <xdr:rowOff>144450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D12DDF6-3CD4-452D-89AC-443B8DF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369636" y="7963582"/>
          <a:ext cx="9719168" cy="3701582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26</xdr:col>
      <xdr:colOff>333375</xdr:colOff>
      <xdr:row>55</xdr:row>
      <xdr:rowOff>156481</xdr:rowOff>
    </xdr:from>
    <xdr:to>
      <xdr:col>33</xdr:col>
      <xdr:colOff>289727</xdr:colOff>
      <xdr:row>74</xdr:row>
      <xdr:rowOff>47625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D5C5D08-DA9B-4D03-819C-3CA2623C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260925" y="22140181"/>
          <a:ext cx="9471827" cy="3691618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22</xdr:col>
      <xdr:colOff>414042</xdr:colOff>
      <xdr:row>102</xdr:row>
      <xdr:rowOff>154895</xdr:rowOff>
    </xdr:from>
    <xdr:to>
      <xdr:col>29</xdr:col>
      <xdr:colOff>290524</xdr:colOff>
      <xdr:row>122</xdr:row>
      <xdr:rowOff>165032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0B4D2FD-DD30-4CD1-8D6F-2F4BAADF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799935" y="21676859"/>
          <a:ext cx="10331303" cy="409228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33</xdr:col>
      <xdr:colOff>476249</xdr:colOff>
      <xdr:row>35</xdr:row>
      <xdr:rowOff>23811</xdr:rowOff>
    </xdr:from>
    <xdr:to>
      <xdr:col>47</xdr:col>
      <xdr:colOff>124088</xdr:colOff>
      <xdr:row>74</xdr:row>
      <xdr:rowOff>58447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E47FED0-7143-4932-9A93-B5B6EDB5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919274" y="18007011"/>
          <a:ext cx="13316214" cy="783561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</xdr:col>
      <xdr:colOff>595312</xdr:colOff>
      <xdr:row>187</xdr:row>
      <xdr:rowOff>71437</xdr:rowOff>
    </xdr:from>
    <xdr:to>
      <xdr:col>10</xdr:col>
      <xdr:colOff>2071089</xdr:colOff>
      <xdr:row>209</xdr:row>
      <xdr:rowOff>81600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9FB37E7-9C20-4D05-A5E3-C2ED45D3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04937" y="49458562"/>
          <a:ext cx="8095652" cy="4410713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</xdr:col>
      <xdr:colOff>240290</xdr:colOff>
      <xdr:row>211</xdr:row>
      <xdr:rowOff>49789</xdr:rowOff>
    </xdr:from>
    <xdr:to>
      <xdr:col>10</xdr:col>
      <xdr:colOff>2423646</xdr:colOff>
      <xdr:row>233</xdr:row>
      <xdr:rowOff>171016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36DD0E-804C-4A94-A926-55B546DBF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9915" y="54237514"/>
          <a:ext cx="8803231" cy="4521777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10</xdr:col>
      <xdr:colOff>3160135</xdr:colOff>
      <xdr:row>186</xdr:row>
      <xdr:rowOff>138546</xdr:rowOff>
    </xdr:from>
    <xdr:to>
      <xdr:col>19</xdr:col>
      <xdr:colOff>1922111</xdr:colOff>
      <xdr:row>210</xdr:row>
      <xdr:rowOff>47440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4ECD0FB-A52B-40B1-A882-AF8055F3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65685" y="49325646"/>
          <a:ext cx="8258401" cy="4709495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10</xdr:col>
      <xdr:colOff>3261906</xdr:colOff>
      <xdr:row>211</xdr:row>
      <xdr:rowOff>179746</xdr:rowOff>
    </xdr:from>
    <xdr:to>
      <xdr:col>19</xdr:col>
      <xdr:colOff>1845036</xdr:colOff>
      <xdr:row>233</xdr:row>
      <xdr:rowOff>46707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D663F6A-7B38-49D1-B0ED-3DFE29C0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72206" y="54367471"/>
          <a:ext cx="8079555" cy="4267511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20</xdr:col>
      <xdr:colOff>302649</xdr:colOff>
      <xdr:row>186</xdr:row>
      <xdr:rowOff>163614</xdr:rowOff>
    </xdr:from>
    <xdr:to>
      <xdr:col>26</xdr:col>
      <xdr:colOff>943550</xdr:colOff>
      <xdr:row>209</xdr:row>
      <xdr:rowOff>173803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2A0D4C3-DD77-40AD-BC59-9298148A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257899" y="49350714"/>
          <a:ext cx="8546651" cy="4610765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20</xdr:col>
      <xdr:colOff>318220</xdr:colOff>
      <xdr:row>211</xdr:row>
      <xdr:rowOff>35894</xdr:rowOff>
    </xdr:from>
    <xdr:to>
      <xdr:col>26</xdr:col>
      <xdr:colOff>1051113</xdr:colOff>
      <xdr:row>232</xdr:row>
      <xdr:rowOff>175806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801B699-9CB4-4610-9265-CA158B4C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73470" y="54223619"/>
          <a:ext cx="8638643" cy="4340437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476250</xdr:colOff>
      <xdr:row>128</xdr:row>
      <xdr:rowOff>142875</xdr:rowOff>
    </xdr:from>
    <xdr:to>
      <xdr:col>10</xdr:col>
      <xdr:colOff>1360116</xdr:colOff>
      <xdr:row>152</xdr:row>
      <xdr:rowOff>169888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E3905A-1CFB-4078-A2BF-DBF739E44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36728400"/>
          <a:ext cx="8313366" cy="4827613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10</xdr:col>
      <xdr:colOff>2547937</xdr:colOff>
      <xdr:row>129</xdr:row>
      <xdr:rowOff>23813</xdr:rowOff>
    </xdr:from>
    <xdr:to>
      <xdr:col>21</xdr:col>
      <xdr:colOff>680730</xdr:colOff>
      <xdr:row>154</xdr:row>
      <xdr:rowOff>47625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EB934-9E5E-44B1-9B11-ED016937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472612" y="36809363"/>
          <a:ext cx="11048693" cy="5024438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10</xdr:col>
      <xdr:colOff>2857499</xdr:colOff>
      <xdr:row>155</xdr:row>
      <xdr:rowOff>142874</xdr:rowOff>
    </xdr:from>
    <xdr:to>
      <xdr:col>20</xdr:col>
      <xdr:colOff>96611</xdr:colOff>
      <xdr:row>181</xdr:row>
      <xdr:rowOff>88702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34AB6F4-01B2-4DCA-957A-929D22B3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467849" y="42129074"/>
          <a:ext cx="8811987" cy="5146478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0</xdr:col>
      <xdr:colOff>357187</xdr:colOff>
      <xdr:row>154</xdr:row>
      <xdr:rowOff>0</xdr:rowOff>
    </xdr:from>
    <xdr:to>
      <xdr:col>10</xdr:col>
      <xdr:colOff>1297931</xdr:colOff>
      <xdr:row>179</xdr:row>
      <xdr:rowOff>143560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EBB7DB3-B3E5-4BBE-9E56-0FCE1615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7187" y="41786175"/>
          <a:ext cx="8370244" cy="5144184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  <xdr:twoCellAnchor editAs="oneCell">
    <xdr:from>
      <xdr:col>22</xdr:col>
      <xdr:colOff>47626</xdr:colOff>
      <xdr:row>129</xdr:row>
      <xdr:rowOff>142875</xdr:rowOff>
    </xdr:from>
    <xdr:to>
      <xdr:col>28</xdr:col>
      <xdr:colOff>709611</xdr:colOff>
      <xdr:row>178</xdr:row>
      <xdr:rowOff>10790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E3061BB-2D24-4806-BBFB-D4792B95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117426" y="36928425"/>
          <a:ext cx="9901235" cy="9669140"/>
        </a:xfrm>
        <a:prstGeom prst="rect">
          <a:avLst/>
        </a:prstGeom>
        <a:ln w="38100">
          <a:solidFill>
            <a:srgbClr val="00B0F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133397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BD054-F5FB-423E-A8B3-C48C90B6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63683" y="0"/>
          <a:ext cx="1919730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127047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906D91-D550-4128-A936-EF2DD390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63683" y="0"/>
          <a:ext cx="1919730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189283</xdr:colOff>
      <xdr:row>17</xdr:row>
      <xdr:rowOff>114300</xdr:rowOff>
    </xdr:from>
    <xdr:to>
      <xdr:col>85</xdr:col>
      <xdr:colOff>394876</xdr:colOff>
      <xdr:row>58</xdr:row>
      <xdr:rowOff>143520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55583" y="5829300"/>
          <a:ext cx="19103193" cy="13982700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50</xdr:col>
      <xdr:colOff>12103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66196-3AB2-4BCA-9417-1D13171B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593598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ADD84-0EAB-4E8F-A3D7-A065C2CA8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593598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53</xdr:col>
      <xdr:colOff>51529</xdr:colOff>
      <xdr:row>3</xdr:row>
      <xdr:rowOff>0</xdr:rowOff>
    </xdr:from>
    <xdr:to>
      <xdr:col>65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A6879611-9459-4F79-8FC3-DAEB25299948}"/>
            </a:ext>
          </a:extLst>
        </xdr:cNvPr>
        <xdr:cNvSpPr txBox="1">
          <a:spLocks noChangeArrowheads="1"/>
        </xdr:cNvSpPr>
      </xdr:nvSpPr>
      <xdr:spPr bwMode="auto">
        <a:xfrm>
          <a:off x="49612009" y="651510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50</xdr:col>
      <xdr:colOff>8928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073EFE-77F2-4408-A122-7D98905B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48983" y="289560"/>
          <a:ext cx="19197305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0A42B-9E38-4C4D-BFD6-464263A62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5955105" y="289560"/>
          <a:ext cx="717063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60</xdr:col>
      <xdr:colOff>51529</xdr:colOff>
      <xdr:row>3</xdr:row>
      <xdr:rowOff>0</xdr:rowOff>
    </xdr:from>
    <xdr:to>
      <xdr:col>72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B3B701F3-7910-48C1-B5AD-7C3BE05D29B5}"/>
            </a:ext>
          </a:extLst>
        </xdr:cNvPr>
        <xdr:cNvSpPr txBox="1">
          <a:spLocks noChangeArrowheads="1"/>
        </xdr:cNvSpPr>
      </xdr:nvSpPr>
      <xdr:spPr bwMode="auto">
        <a:xfrm>
          <a:off x="45908689" y="868680"/>
          <a:ext cx="726732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74983</xdr:colOff>
      <xdr:row>1</xdr:row>
      <xdr:rowOff>0</xdr:rowOff>
    </xdr:from>
    <xdr:to>
      <xdr:col>51</xdr:col>
      <xdr:colOff>8927</xdr:colOff>
      <xdr:row>2</xdr:row>
      <xdr:rowOff>142287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48AA4-1EDA-476D-BEB6-1B04D572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46</xdr:col>
      <xdr:colOff>51529</xdr:colOff>
      <xdr:row>3</xdr:row>
      <xdr:rowOff>0</xdr:rowOff>
    </xdr:from>
    <xdr:to>
      <xdr:col>58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797ACEA1-B127-4BBE-9F18-BB230B701B27}"/>
            </a:ext>
          </a:extLst>
        </xdr:cNvPr>
        <xdr:cNvSpPr txBox="1">
          <a:spLocks noChangeArrowheads="1"/>
        </xdr:cNvSpPr>
      </xdr:nvSpPr>
      <xdr:spPr bwMode="auto">
        <a:xfrm>
          <a:off x="45952504" y="885825"/>
          <a:ext cx="71301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1</xdr:row>
      <xdr:rowOff>0</xdr:rowOff>
    </xdr:from>
    <xdr:to>
      <xdr:col>50</xdr:col>
      <xdr:colOff>8927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D3DDE-3435-4812-9DD2-CC69B3BB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60</xdr:col>
      <xdr:colOff>97945</xdr:colOff>
      <xdr:row>1</xdr:row>
      <xdr:rowOff>0</xdr:rowOff>
    </xdr:from>
    <xdr:to>
      <xdr:col>72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A9ACB-3788-4E36-BA52-3EDD86FBA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28956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45</xdr:col>
      <xdr:colOff>51529</xdr:colOff>
      <xdr:row>2</xdr:row>
      <xdr:rowOff>0</xdr:rowOff>
    </xdr:from>
    <xdr:to>
      <xdr:col>57</xdr:col>
      <xdr:colOff>95096</xdr:colOff>
      <xdr:row>2</xdr:row>
      <xdr:rowOff>85668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F3BAB55C-78D6-45CC-AEAE-3EDFBB0A61E9}"/>
            </a:ext>
          </a:extLst>
        </xdr:cNvPr>
        <xdr:cNvSpPr txBox="1">
          <a:spLocks noChangeArrowheads="1"/>
        </xdr:cNvSpPr>
      </xdr:nvSpPr>
      <xdr:spPr bwMode="auto">
        <a:xfrm>
          <a:off x="39437404" y="885825"/>
          <a:ext cx="71301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74983</xdr:colOff>
      <xdr:row>1</xdr:row>
      <xdr:rowOff>0</xdr:rowOff>
    </xdr:from>
    <xdr:to>
      <xdr:col>26</xdr:col>
      <xdr:colOff>269278</xdr:colOff>
      <xdr:row>2</xdr:row>
      <xdr:rowOff>141652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7225E-EECE-4FB8-8FE7-70C5D15D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06058" y="295275"/>
          <a:ext cx="18834720" cy="332152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47</xdr:col>
      <xdr:colOff>97945</xdr:colOff>
      <xdr:row>1</xdr:row>
      <xdr:rowOff>0</xdr:rowOff>
    </xdr:from>
    <xdr:to>
      <xdr:col>59</xdr:col>
      <xdr:colOff>44818</xdr:colOff>
      <xdr:row>2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F4884E-3522-44F2-84A5-A0396A4B9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4932120" y="295275"/>
          <a:ext cx="7033473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47</xdr:col>
      <xdr:colOff>51529</xdr:colOff>
      <xdr:row>3</xdr:row>
      <xdr:rowOff>0</xdr:rowOff>
    </xdr:from>
    <xdr:to>
      <xdr:col>59</xdr:col>
      <xdr:colOff>95096</xdr:colOff>
      <xdr:row>3</xdr:row>
      <xdr:rowOff>85668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44483A68-250A-4C78-8F34-D1574616C86A}"/>
            </a:ext>
          </a:extLst>
        </xdr:cNvPr>
        <xdr:cNvSpPr txBox="1">
          <a:spLocks noChangeArrowheads="1"/>
        </xdr:cNvSpPr>
      </xdr:nvSpPr>
      <xdr:spPr bwMode="auto">
        <a:xfrm>
          <a:off x="44885704" y="885825"/>
          <a:ext cx="71301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74983</xdr:colOff>
      <xdr:row>0</xdr:row>
      <xdr:rowOff>0</xdr:rowOff>
    </xdr:from>
    <xdr:to>
      <xdr:col>37</xdr:col>
      <xdr:colOff>542327</xdr:colOff>
      <xdr:row>1</xdr:row>
      <xdr:rowOff>142287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398C49-D1EF-43AF-9685-295A91AA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15358" y="0"/>
          <a:ext cx="18831544" cy="33278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8927</xdr:colOff>
      <xdr:row>1</xdr:row>
      <xdr:rowOff>127047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7F4C2-9584-46B6-B514-74E2C9D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0"/>
          <a:ext cx="1944114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LAXUsers/koura/Analyst%20Bullpen/2%20-%20Seattle%20Deals/Seattle/South%20Lake%20Union/1%208%2012%20-%20Seattle%20282%20-%20AW_KAO_1.10.13.xlsm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idg\Desktop\ULI%202024\2024%20ULI%20Hines%20Pro%20Forma%20UMD.xlsx" TargetMode="External"/><Relationship Id="rId1" Type="http://schemas.openxmlformats.org/officeDocument/2006/relationships/externalLinkPath" Target="/Users/Rameez/Desktop/Downloads/2024%20ULI%20Hines%20Pro%20Forma%20UM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ket Research"/>
      <sheetName val="Assumptions"/>
      <sheetName val="Development Program"/>
      <sheetName val="Types of Development"/>
      <sheetName val="Courthouse Financial "/>
      <sheetName val="Courthouse DRAW "/>
      <sheetName val="Yesler Financial"/>
      <sheetName val="Yesler DRAW"/>
      <sheetName val="Admin Financial"/>
      <sheetName val="Admin Draw "/>
      <sheetName val="420 Financial "/>
      <sheetName val="420 Draw"/>
      <sheetName val="Goat Hill Financial"/>
      <sheetName val="Goat Hill Draw "/>
      <sheetName val="CF Financial "/>
      <sheetName val="CF DRAW"/>
      <sheetName val="Chinook Financial"/>
      <sheetName val="Chinook Draw"/>
      <sheetName val="All Components Draw"/>
      <sheetName val="G Financial"/>
      <sheetName val="G Draw"/>
      <sheetName val="F Draw"/>
      <sheetName val="F Financial"/>
      <sheetName val="Graphics"/>
    </sheetNames>
    <sheetDataSet>
      <sheetData sheetId="0"/>
      <sheetData sheetId="1">
        <row r="6">
          <cell r="I6">
            <v>40</v>
          </cell>
        </row>
        <row r="12">
          <cell r="I12">
            <v>37</v>
          </cell>
        </row>
        <row r="30">
          <cell r="D30">
            <v>400</v>
          </cell>
        </row>
        <row r="38">
          <cell r="D38">
            <v>0</v>
          </cell>
        </row>
      </sheetData>
      <sheetData sheetId="2">
        <row r="7">
          <cell r="D7">
            <v>59242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corpinsights.com/costs-per-square-foot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7EA8-8AB1-48C9-A292-F6E053ABBA9C}">
  <sheetPr>
    <tabColor rgb="FF00B0F0"/>
  </sheetPr>
  <dimension ref="B2:AO184"/>
  <sheetViews>
    <sheetView showGridLines="0" zoomScale="42" zoomScaleNormal="42" workbookViewId="0">
      <selection activeCell="A32" sqref="A32:XFD35"/>
    </sheetView>
  </sheetViews>
  <sheetFormatPr defaultColWidth="12.140625" defaultRowHeight="15.75"/>
  <cols>
    <col min="1" max="2" width="12.140625" style="3"/>
    <col min="3" max="3" width="1.28515625" style="3" customWidth="1"/>
    <col min="4" max="7" width="12.140625" style="3"/>
    <col min="8" max="8" width="18.140625" style="3" bestFit="1" customWidth="1"/>
    <col min="9" max="9" width="12.140625" style="3"/>
    <col min="10" max="10" width="7" style="3" customWidth="1"/>
    <col min="11" max="11" width="55.7109375" style="3" customWidth="1"/>
    <col min="12" max="12" width="15.7109375" style="3" customWidth="1"/>
    <col min="13" max="13" width="11.5703125" style="3" customWidth="1"/>
    <col min="14" max="14" width="13.5703125" style="3" bestFit="1" customWidth="1"/>
    <col min="15" max="15" width="11.5703125" style="3" customWidth="1"/>
    <col min="16" max="16" width="12.5703125" style="3" bestFit="1" customWidth="1"/>
    <col min="17" max="17" width="7.42578125" style="3" bestFit="1" customWidth="1"/>
    <col min="18" max="18" width="6.140625" style="3" bestFit="1" customWidth="1"/>
    <col min="19" max="19" width="8.140625" style="3" customWidth="1"/>
    <col min="20" max="20" width="31.140625" style="3" bestFit="1" customWidth="1"/>
    <col min="21" max="21" width="20.140625" style="3" customWidth="1"/>
    <col min="22" max="22" width="14.7109375" style="3" customWidth="1"/>
    <col min="23" max="23" width="17.28515625" style="3" customWidth="1"/>
    <col min="24" max="24" width="26.85546875" style="3" customWidth="1"/>
    <col min="25" max="25" width="19.140625" style="3" customWidth="1"/>
    <col min="26" max="26" width="20.42578125" style="3" customWidth="1"/>
    <col min="27" max="27" width="36.42578125" style="3" bestFit="1" customWidth="1"/>
    <col min="28" max="28" width="18.42578125" style="3" customWidth="1"/>
    <col min="29" max="29" width="18.28515625" style="3" customWidth="1"/>
    <col min="30" max="30" width="18.7109375" style="3" bestFit="1" customWidth="1"/>
    <col min="31" max="31" width="16.85546875" style="3" bestFit="1" customWidth="1"/>
    <col min="32" max="32" width="18.140625" style="3" customWidth="1"/>
    <col min="33" max="33" width="15.85546875" style="3" bestFit="1" customWidth="1"/>
    <col min="34" max="34" width="16.5703125" style="3" customWidth="1"/>
    <col min="35" max="35" width="15.7109375" style="3" bestFit="1" customWidth="1"/>
    <col min="36" max="36" width="17.85546875" style="3" customWidth="1"/>
    <col min="37" max="37" width="33.42578125" style="3" bestFit="1" customWidth="1"/>
    <col min="38" max="16384" width="12.140625" style="3"/>
  </cols>
  <sheetData>
    <row r="2" spans="4:36">
      <c r="D2" s="1" t="s">
        <v>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 t="s">
        <v>1</v>
      </c>
      <c r="U2" s="2"/>
      <c r="V2" s="2"/>
      <c r="W2" s="2"/>
      <c r="X2" s="2"/>
      <c r="Y2" s="2"/>
      <c r="Z2" s="2"/>
      <c r="AA2" s="2"/>
      <c r="AB2" s="1206" t="s">
        <v>375</v>
      </c>
      <c r="AC2" s="1206"/>
      <c r="AD2" s="1206"/>
      <c r="AE2" s="1206"/>
      <c r="AF2" s="1206"/>
      <c r="AG2" s="1206"/>
      <c r="AH2" s="1206"/>
      <c r="AI2" s="1206"/>
      <c r="AJ2" s="1206"/>
    </row>
    <row r="3" spans="4:36" ht="16.5" thickBot="1">
      <c r="D3" s="1" t="s">
        <v>333</v>
      </c>
      <c r="E3" s="2"/>
      <c r="F3" s="2"/>
      <c r="G3" s="2"/>
      <c r="H3" s="2"/>
      <c r="I3" s="2"/>
      <c r="J3" s="2"/>
      <c r="K3" s="4" t="s">
        <v>2</v>
      </c>
      <c r="L3" s="2"/>
      <c r="M3" s="2"/>
      <c r="N3" s="2"/>
      <c r="O3" s="2"/>
      <c r="P3" s="2"/>
      <c r="Q3" s="2"/>
      <c r="R3" s="2"/>
      <c r="S3" s="2"/>
      <c r="T3" s="2" t="s">
        <v>3</v>
      </c>
      <c r="U3" s="2"/>
      <c r="V3" s="2"/>
      <c r="W3" s="2" t="s">
        <v>4</v>
      </c>
      <c r="X3" s="2"/>
      <c r="Y3" s="2"/>
      <c r="Z3" s="2" t="s">
        <v>5</v>
      </c>
      <c r="AA3" s="2"/>
      <c r="AB3" s="1206"/>
      <c r="AC3" s="1206"/>
      <c r="AD3" s="1206"/>
      <c r="AE3" s="1206"/>
      <c r="AF3" s="1206"/>
      <c r="AG3" s="1206"/>
      <c r="AH3" s="1206"/>
      <c r="AI3" s="1206"/>
      <c r="AJ3" s="1206"/>
    </row>
    <row r="4" spans="4:36" ht="16.5" thickBot="1">
      <c r="T4" s="1203" t="s">
        <v>334</v>
      </c>
      <c r="U4" s="1204"/>
      <c r="V4" s="1204"/>
      <c r="W4" s="1205"/>
      <c r="X4" s="1203" t="s">
        <v>343</v>
      </c>
      <c r="Y4" s="1204"/>
      <c r="Z4" s="1204"/>
      <c r="AA4" s="1205"/>
    </row>
    <row r="5" spans="4:36" ht="16.5" thickBot="1">
      <c r="D5" s="1380" t="s">
        <v>9</v>
      </c>
      <c r="E5" s="1381"/>
      <c r="F5" s="1381"/>
      <c r="G5" s="1381"/>
      <c r="H5" s="1382" t="s">
        <v>387</v>
      </c>
      <c r="I5" s="652"/>
      <c r="K5" s="1217" t="s">
        <v>344</v>
      </c>
      <c r="L5" s="1218"/>
      <c r="M5" s="1218"/>
      <c r="N5" s="1218"/>
      <c r="O5" s="1219"/>
      <c r="P5" s="1211"/>
      <c r="Q5" s="1211"/>
      <c r="T5" s="741" t="s">
        <v>335</v>
      </c>
      <c r="U5" s="742" t="s">
        <v>8</v>
      </c>
      <c r="V5" s="715" t="s">
        <v>7</v>
      </c>
      <c r="W5" s="742" t="s">
        <v>6</v>
      </c>
      <c r="X5" s="741" t="s">
        <v>335</v>
      </c>
      <c r="Y5" s="742" t="s">
        <v>8</v>
      </c>
      <c r="Z5" s="715" t="s">
        <v>7</v>
      </c>
      <c r="AA5" s="742" t="s">
        <v>6</v>
      </c>
    </row>
    <row r="6" spans="4:36" ht="32.25" thickBot="1">
      <c r="D6" s="1383" t="s">
        <v>10</v>
      </c>
      <c r="E6" s="1384"/>
      <c r="F6" s="1384"/>
      <c r="G6" s="1384"/>
      <c r="H6" s="1385">
        <v>31901</v>
      </c>
      <c r="I6" s="653"/>
      <c r="K6" s="604" t="s">
        <v>345</v>
      </c>
      <c r="L6" s="605" t="s">
        <v>346</v>
      </c>
      <c r="M6" s="606" t="s">
        <v>347</v>
      </c>
      <c r="N6" s="605" t="s">
        <v>348</v>
      </c>
      <c r="O6" s="607" t="s">
        <v>349</v>
      </c>
      <c r="P6" s="5"/>
      <c r="Q6" s="5"/>
      <c r="T6" s="577" t="s">
        <v>336</v>
      </c>
      <c r="U6" s="743">
        <v>55000000</v>
      </c>
      <c r="V6" s="571">
        <v>211400000</v>
      </c>
      <c r="W6" s="743">
        <f>(U6+V6)/2</f>
        <v>133200000</v>
      </c>
      <c r="X6" s="577" t="s">
        <v>336</v>
      </c>
      <c r="Y6" s="743">
        <v>109000000</v>
      </c>
      <c r="Z6" s="571">
        <v>322000000</v>
      </c>
      <c r="AA6" s="743">
        <f>(Y6+Z6)/2</f>
        <v>215500000</v>
      </c>
    </row>
    <row r="7" spans="4:36">
      <c r="D7" s="1215" t="s">
        <v>411</v>
      </c>
      <c r="E7" s="1378"/>
      <c r="F7" s="1378"/>
      <c r="G7" s="1378"/>
      <c r="H7" s="683">
        <v>44500</v>
      </c>
      <c r="I7" s="653"/>
      <c r="K7" s="584" t="s">
        <v>350</v>
      </c>
      <c r="L7" s="587"/>
      <c r="M7" s="6"/>
      <c r="N7" s="593"/>
      <c r="O7" s="581"/>
      <c r="P7" s="5"/>
      <c r="Q7" s="5"/>
      <c r="T7" s="577" t="s">
        <v>337</v>
      </c>
      <c r="U7" s="575">
        <v>48900000</v>
      </c>
      <c r="V7" s="571">
        <v>95300000</v>
      </c>
      <c r="W7" s="575">
        <f t="shared" ref="W7:W8" si="0">(U7+V7)/2</f>
        <v>72100000</v>
      </c>
      <c r="X7" s="577" t="s">
        <v>337</v>
      </c>
      <c r="Y7" s="575">
        <v>101900000</v>
      </c>
      <c r="Z7" s="571">
        <v>193600000</v>
      </c>
      <c r="AA7" s="575">
        <f t="shared" ref="AA7:AA8" si="1">(Y7+Z7)/2</f>
        <v>147750000</v>
      </c>
    </row>
    <row r="8" spans="4:36">
      <c r="D8" s="1215" t="s">
        <v>11</v>
      </c>
      <c r="E8" s="1378"/>
      <c r="F8" s="1378"/>
      <c r="G8" s="1378"/>
      <c r="H8" s="683">
        <v>8</v>
      </c>
      <c r="I8" s="653"/>
      <c r="K8" s="585" t="s">
        <v>351</v>
      </c>
      <c r="L8" s="588" t="s">
        <v>352</v>
      </c>
      <c r="M8" s="571">
        <v>350</v>
      </c>
      <c r="N8" s="594">
        <v>480</v>
      </c>
      <c r="O8" s="595">
        <v>750</v>
      </c>
      <c r="P8" s="12"/>
      <c r="Q8" s="12"/>
      <c r="R8" s="11"/>
      <c r="T8" s="577" t="s">
        <v>338</v>
      </c>
      <c r="U8" s="575">
        <v>101900000</v>
      </c>
      <c r="V8" s="571">
        <v>193600000</v>
      </c>
      <c r="W8" s="575">
        <f t="shared" si="0"/>
        <v>147750000</v>
      </c>
      <c r="X8" s="577" t="s">
        <v>338</v>
      </c>
      <c r="Y8" s="575">
        <v>101900000</v>
      </c>
      <c r="Z8" s="571">
        <v>193600000</v>
      </c>
      <c r="AA8" s="575">
        <f t="shared" si="1"/>
        <v>147750000</v>
      </c>
    </row>
    <row r="9" spans="4:36">
      <c r="D9" s="1215" t="s">
        <v>405</v>
      </c>
      <c r="E9" s="1378"/>
      <c r="F9" s="1378"/>
      <c r="G9" s="1378"/>
      <c r="H9" s="683">
        <v>236</v>
      </c>
      <c r="I9" s="653"/>
      <c r="K9" s="585" t="s">
        <v>353</v>
      </c>
      <c r="L9" s="589" t="s">
        <v>352</v>
      </c>
      <c r="M9" s="571">
        <v>500</v>
      </c>
      <c r="N9" s="594">
        <v>735</v>
      </c>
      <c r="O9" s="595">
        <v>1200</v>
      </c>
      <c r="P9" s="582"/>
      <c r="Q9" s="582"/>
      <c r="T9" s="577" t="s">
        <v>339</v>
      </c>
      <c r="U9" s="575" t="s">
        <v>297</v>
      </c>
      <c r="V9" s="571" t="s">
        <v>297</v>
      </c>
      <c r="W9" s="575" t="s">
        <v>297</v>
      </c>
      <c r="X9" s="577" t="s">
        <v>339</v>
      </c>
      <c r="Y9" s="575" t="s">
        <v>297</v>
      </c>
      <c r="Z9" s="571" t="s">
        <v>297</v>
      </c>
      <c r="AA9" s="575" t="s">
        <v>297</v>
      </c>
    </row>
    <row r="10" spans="4:36">
      <c r="D10" s="1215" t="s">
        <v>408</v>
      </c>
      <c r="E10" s="1378"/>
      <c r="F10" s="1378"/>
      <c r="G10" s="1378"/>
      <c r="H10" s="683">
        <v>248</v>
      </c>
      <c r="I10" s="653"/>
      <c r="K10" s="584" t="s">
        <v>354</v>
      </c>
      <c r="L10" s="590"/>
      <c r="M10" s="596"/>
      <c r="N10" s="597"/>
      <c r="O10" s="598"/>
      <c r="P10" s="12"/>
      <c r="Q10" s="12"/>
      <c r="R10" s="11"/>
      <c r="T10" s="577" t="s">
        <v>340</v>
      </c>
      <c r="U10" s="575">
        <v>55600000</v>
      </c>
      <c r="V10" s="571">
        <v>104600000</v>
      </c>
      <c r="W10" s="575">
        <f t="shared" ref="W10:W12" si="2">(U10+V10)/2</f>
        <v>80100000</v>
      </c>
      <c r="X10" s="577" t="s">
        <v>340</v>
      </c>
      <c r="Y10" s="575">
        <v>114600000</v>
      </c>
      <c r="Z10" s="571">
        <v>211400000</v>
      </c>
      <c r="AA10" s="575">
        <f t="shared" ref="AA10:AA12" si="3">(Y10+Z10)/2</f>
        <v>163000000</v>
      </c>
    </row>
    <row r="11" spans="4:36">
      <c r="D11" s="1215" t="s">
        <v>409</v>
      </c>
      <c r="E11" s="1378"/>
      <c r="F11" s="1378"/>
      <c r="G11" s="1378"/>
      <c r="H11" s="683">
        <v>248</v>
      </c>
      <c r="I11" s="653"/>
      <c r="K11" s="585" t="s">
        <v>355</v>
      </c>
      <c r="L11" s="588" t="s">
        <v>352</v>
      </c>
      <c r="M11" s="571">
        <v>740</v>
      </c>
      <c r="N11" s="594">
        <v>920</v>
      </c>
      <c r="O11" s="595">
        <v>1320</v>
      </c>
      <c r="P11" s="12"/>
      <c r="Q11" s="12"/>
      <c r="R11" s="11"/>
      <c r="T11" s="577" t="s">
        <v>341</v>
      </c>
      <c r="U11" s="575">
        <v>152000000</v>
      </c>
      <c r="V11" s="571">
        <v>273000000</v>
      </c>
      <c r="W11" s="575">
        <f t="shared" si="2"/>
        <v>212500000</v>
      </c>
      <c r="X11" s="577" t="s">
        <v>341</v>
      </c>
      <c r="Y11" s="575">
        <v>152000000</v>
      </c>
      <c r="Z11" s="571">
        <v>273000000</v>
      </c>
      <c r="AA11" s="575">
        <f t="shared" si="3"/>
        <v>212500000</v>
      </c>
    </row>
    <row r="12" spans="4:36" ht="16.5" thickBot="1">
      <c r="D12" s="580" t="s">
        <v>410</v>
      </c>
      <c r="E12" s="1386"/>
      <c r="F12" s="1386"/>
      <c r="G12" s="1386"/>
      <c r="H12" s="683">
        <v>225</v>
      </c>
      <c r="I12" s="653"/>
      <c r="K12" s="585" t="s">
        <v>356</v>
      </c>
      <c r="L12" s="589" t="s">
        <v>352</v>
      </c>
      <c r="M12" s="571">
        <v>420</v>
      </c>
      <c r="N12" s="594">
        <v>530</v>
      </c>
      <c r="O12" s="595">
        <v>770</v>
      </c>
      <c r="P12" s="582"/>
      <c r="Q12" s="582"/>
      <c r="R12" s="11"/>
      <c r="T12" s="578" t="s">
        <v>384</v>
      </c>
      <c r="U12" s="576">
        <v>14200000</v>
      </c>
      <c r="V12" s="573">
        <v>36800000</v>
      </c>
      <c r="W12" s="576">
        <f t="shared" si="2"/>
        <v>25500000</v>
      </c>
      <c r="X12" s="578" t="s">
        <v>384</v>
      </c>
      <c r="Y12" s="576">
        <v>14200000</v>
      </c>
      <c r="Z12" s="573">
        <v>36800000</v>
      </c>
      <c r="AA12" s="576">
        <f t="shared" si="3"/>
        <v>25500000</v>
      </c>
    </row>
    <row r="13" spans="4:36" ht="16.5" thickBot="1">
      <c r="D13" s="1215" t="s">
        <v>407</v>
      </c>
      <c r="E13" s="1378"/>
      <c r="F13" s="1378"/>
      <c r="G13" s="1378"/>
      <c r="H13" s="683">
        <v>221</v>
      </c>
      <c r="I13" s="653"/>
      <c r="K13" s="584" t="s">
        <v>357</v>
      </c>
      <c r="L13" s="590"/>
      <c r="M13" s="596"/>
      <c r="N13" s="597"/>
      <c r="O13" s="598"/>
      <c r="P13" s="12"/>
      <c r="Q13" s="12"/>
      <c r="R13" s="11"/>
      <c r="T13" s="741" t="s">
        <v>229</v>
      </c>
      <c r="U13" s="744">
        <f>SUM(U6:U12)</f>
        <v>427600000</v>
      </c>
      <c r="V13" s="745">
        <f>SUM(V6:V12)</f>
        <v>914700000</v>
      </c>
      <c r="W13" s="744">
        <f>SUM(W6:W12)</f>
        <v>671150000</v>
      </c>
      <c r="X13" s="741" t="s">
        <v>229</v>
      </c>
      <c r="Y13" s="744">
        <f>SUM(Y6:Y12)</f>
        <v>593600000</v>
      </c>
      <c r="Z13" s="745">
        <f>SUM(Z6:Z12)</f>
        <v>1230400000</v>
      </c>
      <c r="AA13" s="744">
        <f>SUM(AA6:AA12)</f>
        <v>912000000</v>
      </c>
    </row>
    <row r="14" spans="4:36" ht="16.5" thickBot="1">
      <c r="D14" s="1212" t="s">
        <v>406</v>
      </c>
      <c r="E14" s="1213"/>
      <c r="F14" s="1213"/>
      <c r="G14" s="1213"/>
      <c r="H14" s="684">
        <v>106</v>
      </c>
      <c r="I14" s="653"/>
      <c r="K14" s="585" t="s">
        <v>358</v>
      </c>
      <c r="L14" s="589" t="s">
        <v>352</v>
      </c>
      <c r="M14" s="571">
        <v>270</v>
      </c>
      <c r="N14" s="594">
        <v>375</v>
      </c>
      <c r="O14" s="595">
        <v>570</v>
      </c>
      <c r="P14" s="582"/>
      <c r="Q14" s="582"/>
      <c r="R14" s="11"/>
      <c r="T14" s="14"/>
      <c r="U14" s="14"/>
    </row>
    <row r="15" spans="4:36" ht="22.5" customHeight="1" thickBot="1">
      <c r="D15" s="1378"/>
      <c r="E15" s="1378"/>
      <c r="F15" s="1378"/>
      <c r="G15" s="1378"/>
      <c r="H15" s="1379"/>
      <c r="I15" s="653"/>
      <c r="K15" s="585" t="s">
        <v>359</v>
      </c>
      <c r="L15" s="588" t="s">
        <v>352</v>
      </c>
      <c r="M15" s="571">
        <v>460</v>
      </c>
      <c r="N15" s="594">
        <v>695</v>
      </c>
      <c r="O15" s="595">
        <v>1140</v>
      </c>
      <c r="P15" s="12"/>
      <c r="Q15" s="12"/>
      <c r="R15" s="11"/>
    </row>
    <row r="16" spans="4:36" ht="30" customHeight="1" thickBot="1">
      <c r="D16" s="1378"/>
      <c r="E16" s="1378"/>
      <c r="F16" s="1378"/>
      <c r="G16" s="1378"/>
      <c r="H16" s="1379"/>
      <c r="I16" s="653"/>
      <c r="K16" s="584" t="s">
        <v>4</v>
      </c>
      <c r="L16" s="590"/>
      <c r="M16" s="596"/>
      <c r="N16" s="597"/>
      <c r="O16" s="598"/>
      <c r="P16" s="12"/>
      <c r="Q16" s="12"/>
      <c r="R16" s="11"/>
      <c r="T16" s="1209" t="s">
        <v>423</v>
      </c>
      <c r="U16" s="1216"/>
      <c r="V16" s="1216"/>
      <c r="W16" s="1216"/>
      <c r="X16" s="1216"/>
      <c r="Y16" s="1216"/>
      <c r="Z16" s="1216"/>
      <c r="AA16" s="1210"/>
    </row>
    <row r="17" spans="2:40" ht="34.5" customHeight="1" thickBot="1">
      <c r="D17" s="1378"/>
      <c r="E17" s="1378"/>
      <c r="F17" s="1378"/>
      <c r="G17" s="1378"/>
      <c r="H17" s="1379"/>
      <c r="I17" s="653"/>
      <c r="K17" s="585" t="s">
        <v>360</v>
      </c>
      <c r="L17" s="589" t="s">
        <v>352</v>
      </c>
      <c r="M17" s="571">
        <v>270</v>
      </c>
      <c r="N17" s="594">
        <v>335</v>
      </c>
      <c r="O17" s="595">
        <v>480</v>
      </c>
      <c r="P17" s="582"/>
      <c r="Q17" s="582"/>
      <c r="R17" s="11"/>
      <c r="T17" s="697" t="s">
        <v>415</v>
      </c>
      <c r="U17" s="700" t="s">
        <v>420</v>
      </c>
      <c r="V17" s="694" t="s">
        <v>416</v>
      </c>
      <c r="W17" s="696" t="s">
        <v>417</v>
      </c>
      <c r="X17" s="695" t="s">
        <v>418</v>
      </c>
      <c r="Y17" s="696" t="s">
        <v>419</v>
      </c>
      <c r="Z17" s="1209" t="s">
        <v>429</v>
      </c>
      <c r="AA17" s="1210"/>
    </row>
    <row r="18" spans="2:40">
      <c r="D18" s="1378"/>
      <c r="E18" s="1378"/>
      <c r="F18" s="1378"/>
      <c r="G18" s="1378"/>
      <c r="H18" s="1379"/>
      <c r="I18" s="653"/>
      <c r="K18" s="585" t="s">
        <v>361</v>
      </c>
      <c r="L18" s="588" t="s">
        <v>352</v>
      </c>
      <c r="M18" s="571">
        <v>160</v>
      </c>
      <c r="N18" s="594">
        <v>265</v>
      </c>
      <c r="O18" s="595">
        <v>460</v>
      </c>
      <c r="P18" s="12"/>
      <c r="Q18" s="12"/>
      <c r="R18" s="11"/>
      <c r="T18" s="698">
        <v>942001090</v>
      </c>
      <c r="U18" s="701" t="s">
        <v>424</v>
      </c>
      <c r="V18" s="654" t="s">
        <v>425</v>
      </c>
      <c r="W18" s="746">
        <v>2614</v>
      </c>
      <c r="X18" s="746">
        <v>8324</v>
      </c>
      <c r="Y18" s="746">
        <v>3852000</v>
      </c>
      <c r="Z18" s="1207" t="s">
        <v>426</v>
      </c>
      <c r="AA18" s="1208"/>
    </row>
    <row r="19" spans="2:40">
      <c r="D19" s="1214"/>
      <c r="E19" s="1214"/>
      <c r="F19" s="1214"/>
      <c r="G19" s="1214"/>
      <c r="H19" s="678"/>
      <c r="I19" s="9"/>
      <c r="K19" s="585" t="s">
        <v>362</v>
      </c>
      <c r="L19" s="588" t="s">
        <v>352</v>
      </c>
      <c r="M19" s="571">
        <v>500</v>
      </c>
      <c r="N19" s="594">
        <v>860</v>
      </c>
      <c r="O19" s="595">
        <v>1520</v>
      </c>
      <c r="P19" s="12"/>
      <c r="Q19" s="12"/>
      <c r="R19" s="11"/>
      <c r="T19" s="698">
        <v>942001095</v>
      </c>
      <c r="U19" s="701" t="s">
        <v>4</v>
      </c>
      <c r="V19" s="580" t="s">
        <v>428</v>
      </c>
      <c r="W19" s="572">
        <v>4260</v>
      </c>
      <c r="X19" s="572">
        <v>10000</v>
      </c>
      <c r="Y19" s="572">
        <v>2750000</v>
      </c>
      <c r="Z19" s="1196" t="s">
        <v>451</v>
      </c>
      <c r="AA19" s="1197"/>
    </row>
    <row r="20" spans="2:40">
      <c r="G20" s="679"/>
      <c r="H20" s="680"/>
      <c r="I20" s="9"/>
      <c r="K20" s="585" t="s">
        <v>363</v>
      </c>
      <c r="L20" s="588" t="s">
        <v>364</v>
      </c>
      <c r="M20" s="571">
        <v>7500000</v>
      </c>
      <c r="N20" s="594">
        <v>11200000</v>
      </c>
      <c r="O20" s="595">
        <v>18300000</v>
      </c>
      <c r="P20" s="12"/>
      <c r="Q20" s="12"/>
      <c r="R20" s="11"/>
      <c r="T20" s="698">
        <v>942001115</v>
      </c>
      <c r="U20" s="701" t="s">
        <v>421</v>
      </c>
      <c r="V20" s="580" t="s">
        <v>422</v>
      </c>
      <c r="W20" s="572">
        <v>6600</v>
      </c>
      <c r="X20" s="572">
        <v>0</v>
      </c>
      <c r="Y20" s="572">
        <f>W20*295</f>
        <v>1947000</v>
      </c>
      <c r="Z20" s="1196" t="s">
        <v>427</v>
      </c>
      <c r="AA20" s="1197"/>
    </row>
    <row r="21" spans="2:40">
      <c r="G21" s="7"/>
      <c r="H21" s="8"/>
      <c r="I21" s="9"/>
      <c r="K21" s="584" t="s">
        <v>365</v>
      </c>
      <c r="L21" s="590"/>
      <c r="M21" s="596"/>
      <c r="N21" s="597"/>
      <c r="O21" s="598"/>
      <c r="P21" s="12"/>
      <c r="Q21" s="12"/>
      <c r="R21" s="11"/>
      <c r="T21" s="698">
        <v>942001120</v>
      </c>
      <c r="U21" s="701" t="s">
        <v>430</v>
      </c>
      <c r="V21" s="580" t="s">
        <v>431</v>
      </c>
      <c r="W21" s="572">
        <v>6600</v>
      </c>
      <c r="X21" s="572">
        <v>35820</v>
      </c>
      <c r="Y21" s="572">
        <v>800000</v>
      </c>
      <c r="Z21" s="1196" t="s">
        <v>452</v>
      </c>
      <c r="AA21" s="1197"/>
    </row>
    <row r="22" spans="2:40" ht="16.5" thickBot="1">
      <c r="G22" s="7"/>
      <c r="H22" s="8"/>
      <c r="I22" s="9"/>
      <c r="K22" s="585" t="s">
        <v>366</v>
      </c>
      <c r="L22" s="588" t="s">
        <v>367</v>
      </c>
      <c r="M22" s="571">
        <v>25000</v>
      </c>
      <c r="N22" s="594">
        <v>36000</v>
      </c>
      <c r="O22" s="595">
        <v>57000</v>
      </c>
      <c r="P22" s="12"/>
      <c r="Q22" s="12"/>
      <c r="R22" s="11"/>
      <c r="T22" s="699">
        <v>942001140</v>
      </c>
      <c r="U22" s="702" t="s">
        <v>433</v>
      </c>
      <c r="V22" s="583" t="s">
        <v>432</v>
      </c>
      <c r="W22" s="574">
        <v>6600</v>
      </c>
      <c r="X22" s="574">
        <v>19980</v>
      </c>
      <c r="Y22" s="574">
        <v>4000000</v>
      </c>
      <c r="Z22" s="1198" t="s">
        <v>434</v>
      </c>
      <c r="AA22" s="1199"/>
    </row>
    <row r="23" spans="2:40" ht="16.5" thickBot="1">
      <c r="G23" s="7"/>
      <c r="H23" s="8"/>
      <c r="I23" s="9"/>
      <c r="K23" s="585" t="s">
        <v>368</v>
      </c>
      <c r="L23" s="588" t="s">
        <v>367</v>
      </c>
      <c r="M23" s="571">
        <v>76000</v>
      </c>
      <c r="N23" s="594">
        <v>103000</v>
      </c>
      <c r="O23" s="595">
        <v>158000</v>
      </c>
      <c r="P23" s="12"/>
      <c r="Q23" s="12"/>
      <c r="R23" s="11"/>
      <c r="T23" s="1200" t="s">
        <v>229</v>
      </c>
      <c r="U23" s="1201"/>
      <c r="V23" s="1202"/>
      <c r="W23" s="747">
        <f>SUM(W18:W22)</f>
        <v>26674</v>
      </c>
      <c r="X23" s="747">
        <f t="shared" ref="X23:Y23" si="4">SUM(X18:X22)</f>
        <v>74124</v>
      </c>
      <c r="Y23" s="747">
        <f t="shared" si="4"/>
        <v>13349000</v>
      </c>
      <c r="Z23" s="692"/>
      <c r="AA23" s="693"/>
    </row>
    <row r="24" spans="2:40">
      <c r="G24" s="7"/>
      <c r="H24" s="8"/>
      <c r="I24" s="9"/>
      <c r="K24" s="584" t="s">
        <v>183</v>
      </c>
      <c r="L24" s="590"/>
      <c r="M24" s="596"/>
      <c r="N24" s="597"/>
      <c r="O24" s="598"/>
      <c r="P24" s="12"/>
      <c r="Q24" s="12"/>
      <c r="R24" s="11"/>
    </row>
    <row r="25" spans="2:40">
      <c r="G25" s="7"/>
      <c r="H25" s="8"/>
      <c r="I25" s="9"/>
      <c r="K25" s="585" t="s">
        <v>369</v>
      </c>
      <c r="L25" s="588" t="s">
        <v>352</v>
      </c>
      <c r="M25" s="571">
        <v>290</v>
      </c>
      <c r="N25" s="594">
        <v>385</v>
      </c>
      <c r="O25" s="595">
        <v>570</v>
      </c>
      <c r="P25" s="12"/>
      <c r="Q25" s="12"/>
      <c r="R25" s="11"/>
    </row>
    <row r="26" spans="2:40">
      <c r="G26" s="7"/>
      <c r="H26" s="8"/>
      <c r="I26" s="9"/>
      <c r="K26" s="585" t="s">
        <v>370</v>
      </c>
      <c r="L26" s="588" t="s">
        <v>352</v>
      </c>
      <c r="M26" s="571">
        <v>390</v>
      </c>
      <c r="N26" s="594">
        <v>535</v>
      </c>
      <c r="O26" s="595">
        <v>830</v>
      </c>
      <c r="P26" s="12"/>
      <c r="Q26" s="12"/>
      <c r="R26" s="11"/>
    </row>
    <row r="27" spans="2:40">
      <c r="G27" s="7"/>
      <c r="H27" s="8"/>
      <c r="I27" s="9"/>
      <c r="K27" s="584" t="s">
        <v>371</v>
      </c>
      <c r="L27" s="591"/>
      <c r="M27" s="599"/>
      <c r="N27" s="600"/>
      <c r="O27" s="601"/>
      <c r="P27" s="12"/>
      <c r="Q27" s="12"/>
      <c r="R27" s="11"/>
    </row>
    <row r="28" spans="2:40">
      <c r="G28" s="7"/>
      <c r="H28" s="8"/>
      <c r="I28" s="9"/>
      <c r="K28" s="585" t="s">
        <v>372</v>
      </c>
      <c r="L28" s="588" t="s">
        <v>373</v>
      </c>
      <c r="M28" s="571">
        <v>14000</v>
      </c>
      <c r="N28" s="594">
        <v>25000</v>
      </c>
      <c r="O28" s="595">
        <v>45000</v>
      </c>
      <c r="P28" s="12"/>
      <c r="Q28" s="12"/>
      <c r="R28" s="11"/>
    </row>
    <row r="29" spans="2:40">
      <c r="G29" s="7"/>
      <c r="H29" s="8"/>
      <c r="I29" s="9"/>
      <c r="K29" s="584" t="s">
        <v>5</v>
      </c>
      <c r="L29" s="590"/>
      <c r="M29" s="596"/>
      <c r="N29" s="597"/>
      <c r="O29" s="598"/>
      <c r="P29" s="12"/>
      <c r="Q29" s="12"/>
      <c r="R29" s="11"/>
    </row>
    <row r="30" spans="2:40" ht="16.5" thickBot="1">
      <c r="G30" s="7"/>
      <c r="H30" s="8"/>
      <c r="I30" s="9"/>
      <c r="K30" s="586" t="s">
        <v>374</v>
      </c>
      <c r="L30" s="592" t="s">
        <v>352</v>
      </c>
      <c r="M30" s="573">
        <v>330</v>
      </c>
      <c r="N30" s="602">
        <v>505</v>
      </c>
      <c r="O30" s="603">
        <v>830</v>
      </c>
      <c r="P30" s="12"/>
      <c r="Q30" s="12"/>
      <c r="R30" s="11"/>
    </row>
    <row r="31" spans="2:40">
      <c r="G31" s="7"/>
      <c r="H31" s="8"/>
      <c r="I31" s="9"/>
      <c r="L31" s="10"/>
      <c r="M31" s="11"/>
      <c r="N31" s="11"/>
      <c r="O31" s="12"/>
      <c r="P31" s="12"/>
      <c r="Q31" s="12"/>
      <c r="R31" s="12"/>
      <c r="S31" s="11"/>
    </row>
    <row r="32" spans="2:40">
      <c r="B32" s="1" t="s">
        <v>15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2:40">
      <c r="B33" s="1" t="s">
        <v>484</v>
      </c>
      <c r="C33" s="2"/>
      <c r="D33" s="2"/>
      <c r="E33" s="2"/>
      <c r="F33" s="2"/>
      <c r="G33" s="2"/>
      <c r="H33" s="2"/>
      <c r="I33" s="2"/>
      <c r="J33" s="13" t="s">
        <v>484</v>
      </c>
      <c r="K33" s="1"/>
      <c r="L33" s="2"/>
      <c r="M33" s="2"/>
      <c r="N33" s="2"/>
      <c r="O33" s="2"/>
      <c r="P33" s="2"/>
      <c r="Q33" s="15"/>
      <c r="R33" s="15"/>
      <c r="S33" s="1"/>
      <c r="T33" s="13" t="s">
        <v>484</v>
      </c>
      <c r="U33" s="15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2:40">
      <c r="Z34" s="579"/>
      <c r="AA34" s="579"/>
      <c r="AB34" s="579"/>
      <c r="AC34" s="579"/>
      <c r="AD34" s="579"/>
    </row>
    <row r="35" spans="2:40">
      <c r="Z35" s="579"/>
      <c r="AA35" s="579"/>
      <c r="AB35" s="579"/>
      <c r="AC35" s="579"/>
      <c r="AD35" s="579"/>
    </row>
    <row r="79" spans="2:41">
      <c r="B79" s="1" t="s">
        <v>16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2:41">
      <c r="B80" s="1" t="s">
        <v>484</v>
      </c>
      <c r="C80" s="2"/>
      <c r="D80" s="2"/>
      <c r="E80" s="2"/>
      <c r="F80" s="2"/>
      <c r="G80" s="2"/>
      <c r="H80" s="2"/>
      <c r="I80" s="2"/>
      <c r="J80" s="2"/>
      <c r="K80" s="1"/>
      <c r="L80" s="13" t="s">
        <v>332</v>
      </c>
      <c r="M80" s="2"/>
      <c r="N80" s="2"/>
      <c r="O80" s="2"/>
      <c r="P80" s="2"/>
      <c r="Q80" s="15"/>
      <c r="R80" s="15"/>
      <c r="S80" s="1"/>
      <c r="T80" s="1" t="s">
        <v>332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126" spans="2:34">
      <c r="B126" s="1" t="s">
        <v>468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spans="2:34">
      <c r="B127" s="1" t="s">
        <v>484</v>
      </c>
      <c r="C127" s="2"/>
      <c r="D127" s="2"/>
      <c r="E127" s="2"/>
      <c r="F127" s="2"/>
      <c r="G127" s="2"/>
      <c r="H127" s="2"/>
      <c r="I127" s="2"/>
      <c r="J127" s="2"/>
      <c r="K127" s="1"/>
      <c r="L127" s="13" t="s">
        <v>332</v>
      </c>
      <c r="M127" s="2"/>
      <c r="N127" s="2"/>
      <c r="O127" s="2"/>
      <c r="P127" s="2"/>
      <c r="Q127" s="15"/>
      <c r="R127" s="15"/>
      <c r="S127" s="1"/>
      <c r="T127" s="1" t="s">
        <v>332</v>
      </c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82" spans="2:35" ht="94.5" customHeight="1"/>
    <row r="183" spans="2:35">
      <c r="B183" s="1" t="s">
        <v>166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2:35">
      <c r="B184" s="1" t="s">
        <v>484</v>
      </c>
      <c r="C184" s="2"/>
      <c r="D184" s="2"/>
      <c r="E184" s="2"/>
      <c r="F184" s="2"/>
      <c r="G184" s="2"/>
      <c r="H184" s="2"/>
      <c r="I184" s="2"/>
      <c r="J184" s="2"/>
      <c r="K184" s="1"/>
      <c r="L184" s="13" t="s">
        <v>332</v>
      </c>
      <c r="M184" s="2"/>
      <c r="N184" s="2"/>
      <c r="O184" s="2"/>
      <c r="P184" s="2"/>
      <c r="Q184" s="15"/>
      <c r="R184" s="15"/>
      <c r="S184" s="1"/>
      <c r="T184" s="1" t="s">
        <v>332</v>
      </c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</sheetData>
  <mergeCells count="27">
    <mergeCell ref="D19:G19"/>
    <mergeCell ref="D7:G7"/>
    <mergeCell ref="D5:G5"/>
    <mergeCell ref="T16:AA16"/>
    <mergeCell ref="D13:G13"/>
    <mergeCell ref="D15:G15"/>
    <mergeCell ref="D16:G16"/>
    <mergeCell ref="D17:G17"/>
    <mergeCell ref="D8:G8"/>
    <mergeCell ref="D9:G9"/>
    <mergeCell ref="D10:G10"/>
    <mergeCell ref="D11:G11"/>
    <mergeCell ref="D14:G14"/>
    <mergeCell ref="K5:O5"/>
    <mergeCell ref="Z19:AA19"/>
    <mergeCell ref="AB2:AJ3"/>
    <mergeCell ref="D6:G6"/>
    <mergeCell ref="Z18:AA18"/>
    <mergeCell ref="Z17:AA17"/>
    <mergeCell ref="P5:Q5"/>
    <mergeCell ref="D18:G18"/>
    <mergeCell ref="Z20:AA20"/>
    <mergeCell ref="Z21:AA21"/>
    <mergeCell ref="Z22:AA22"/>
    <mergeCell ref="T23:V23"/>
    <mergeCell ref="T4:W4"/>
    <mergeCell ref="X4:AA4"/>
  </mergeCells>
  <hyperlinks>
    <hyperlink ref="K3" r:id="rId1" xr:uid="{9AED4374-0FBD-4A2F-A555-4FD4223589FF}"/>
  </hyperlinks>
  <pageMargins left="0.7" right="0.7" top="0.75" bottom="0.75" header="0.3" footer="0.3"/>
  <pageSetup paperSize="3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4AF4B-AA19-44C8-886E-4B0199F2ACBD}">
  <sheetPr>
    <tabColor rgb="FF0070C0"/>
  </sheetPr>
  <dimension ref="A1:AZ599"/>
  <sheetViews>
    <sheetView zoomScaleNormal="100" zoomScalePageLayoutView="125" workbookViewId="0">
      <pane xSplit="1" ySplit="4" topLeftCell="B5" activePane="bottomRight" state="frozen"/>
      <selection activeCell="G26" sqref="G26"/>
      <selection pane="topRight" activeCell="G26" sqref="G26"/>
      <selection pane="bottomLeft" activeCell="G26" sqref="G26"/>
      <selection pane="bottomRight" activeCell="C37" sqref="C37"/>
    </sheetView>
  </sheetViews>
  <sheetFormatPr defaultColWidth="8.85546875" defaultRowHeight="12.75"/>
  <cols>
    <col min="1" max="1" width="45.5703125" style="21" customWidth="1"/>
    <col min="2" max="2" width="14.85546875" style="21" customWidth="1"/>
    <col min="3" max="3" width="18.140625" style="21" customWidth="1"/>
    <col min="4" max="4" width="15.5703125" style="21" customWidth="1"/>
    <col min="5" max="5" width="17.140625" style="21" bestFit="1" customWidth="1"/>
    <col min="6" max="6" width="17.85546875" style="21" customWidth="1"/>
    <col min="7" max="7" width="14.42578125" style="139" customWidth="1"/>
    <col min="8" max="8" width="19" style="21" customWidth="1"/>
    <col min="9" max="9" width="15.5703125" style="21" customWidth="1"/>
    <col min="10" max="10" width="16.42578125" style="21" customWidth="1"/>
    <col min="11" max="11" width="17.5703125" style="21" customWidth="1"/>
    <col min="12" max="12" width="14.140625" style="21" customWidth="1"/>
    <col min="13" max="13" width="14.42578125" style="21" customWidth="1"/>
    <col min="14" max="14" width="15.42578125" style="21" customWidth="1"/>
    <col min="15" max="15" width="16.140625" style="21" customWidth="1"/>
    <col min="16" max="16" width="15.42578125" style="21" customWidth="1"/>
    <col min="17" max="17" width="13.85546875" style="21" customWidth="1"/>
    <col min="18" max="18" width="14" style="21" customWidth="1"/>
    <col min="19" max="19" width="14" style="21" hidden="1" customWidth="1"/>
    <col min="20" max="20" width="12.85546875" style="21" hidden="1" customWidth="1"/>
    <col min="21" max="21" width="14.42578125" style="21" hidden="1" customWidth="1"/>
    <col min="22" max="22" width="16" style="21" hidden="1" customWidth="1"/>
    <col min="23" max="23" width="17" style="21" hidden="1" customWidth="1"/>
    <col min="24" max="24" width="16.42578125" style="21" hidden="1" customWidth="1"/>
    <col min="25" max="25" width="13.42578125" style="21" hidden="1" customWidth="1"/>
    <col min="26" max="26" width="15" style="21" hidden="1" customWidth="1"/>
    <col min="27" max="27" width="13.42578125" style="21" hidden="1" customWidth="1"/>
    <col min="28" max="28" width="16.85546875" style="140" hidden="1" customWidth="1"/>
    <col min="29" max="29" width="15" style="21" hidden="1" customWidth="1"/>
    <col min="30" max="30" width="16.140625" style="21" hidden="1" customWidth="1"/>
    <col min="31" max="31" width="13.42578125" style="140" hidden="1" customWidth="1"/>
    <col min="32" max="32" width="17.140625" style="21" hidden="1" customWidth="1"/>
    <col min="33" max="33" width="14.42578125" style="21" hidden="1" customWidth="1"/>
    <col min="34" max="34" width="17.5703125" style="21" hidden="1" customWidth="1"/>
    <col min="35" max="35" width="14.42578125" style="141" hidden="1" customWidth="1"/>
    <col min="36" max="36" width="14.85546875" style="21" hidden="1" customWidth="1"/>
    <col min="37" max="37" width="15" style="21" hidden="1" customWidth="1"/>
    <col min="38" max="38" width="15.140625" style="21" hidden="1" customWidth="1"/>
    <col min="39" max="39" width="13.5703125" style="21" hidden="1" customWidth="1"/>
    <col min="40" max="40" width="13.85546875" style="21" hidden="1" customWidth="1"/>
    <col min="41" max="41" width="15.5703125" style="21" hidden="1" customWidth="1"/>
    <col min="42" max="43" width="15" style="21" hidden="1" customWidth="1"/>
    <col min="44" max="47" width="15.140625" style="21" hidden="1" customWidth="1"/>
    <col min="48" max="50" width="17" style="21" customWidth="1"/>
    <col min="51" max="51" width="15" style="21" customWidth="1"/>
    <col min="52" max="52" width="17.85546875" style="21" bestFit="1" customWidth="1"/>
    <col min="53" max="53" width="9.5703125" style="21" bestFit="1" customWidth="1"/>
    <col min="54" max="54" width="11.85546875" style="21" bestFit="1" customWidth="1"/>
    <col min="55" max="56" width="9.5703125" style="21" bestFit="1" customWidth="1"/>
    <col min="57" max="16384" width="8.85546875" style="21"/>
  </cols>
  <sheetData>
    <row r="1" spans="1:52" ht="15.75" thickBot="1">
      <c r="A1" s="1299" t="str">
        <f>'Development Program'!B26</f>
        <v>Lower Cascade Apts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B1"/>
      <c r="AE1" s="21"/>
      <c r="AI1" s="21"/>
      <c r="AY1"/>
      <c r="AZ1"/>
    </row>
    <row r="2" spans="1:52" ht="15.75" thickBot="1">
      <c r="A2" s="1283"/>
      <c r="B2" s="754" t="s">
        <v>250</v>
      </c>
      <c r="C2" s="755" t="str">
        <f>'Development Program'!D26</f>
        <v>01/1/28 to 12/31/28</v>
      </c>
      <c r="D2" s="755" t="str">
        <f>'Development Program'!E26</f>
        <v>1/1/29 to 6/30/29</v>
      </c>
      <c r="E2" s="755" t="str">
        <f>'Development Program'!F26</f>
        <v>7/1/29 to 6/30/32</v>
      </c>
      <c r="F2" s="756" t="str">
        <f>'Development Program'!G26</f>
        <v>7/1/32 to 12/31/32</v>
      </c>
      <c r="G2" s="21"/>
      <c r="H2" s="757"/>
      <c r="I2" s="757"/>
      <c r="J2" s="757"/>
      <c r="Y2"/>
      <c r="AB2" s="21"/>
      <c r="AE2" s="21"/>
      <c r="AI2" s="21"/>
      <c r="AS2" s="1285" t="s">
        <v>256</v>
      </c>
      <c r="AT2" s="1285"/>
      <c r="AU2" s="1285"/>
      <c r="AV2"/>
      <c r="AW2"/>
    </row>
    <row r="3" spans="1:52" ht="15.75" thickBot="1">
      <c r="A3" s="1283"/>
      <c r="B3" s="758"/>
      <c r="C3" s="759" t="s">
        <v>251</v>
      </c>
      <c r="D3" s="759" t="s">
        <v>281</v>
      </c>
      <c r="E3" s="759" t="s">
        <v>282</v>
      </c>
      <c r="F3" s="759" t="s">
        <v>252</v>
      </c>
      <c r="G3" s="760"/>
      <c r="H3" s="761"/>
      <c r="I3" s="761"/>
      <c r="J3" s="761"/>
      <c r="K3" s="761"/>
      <c r="L3" s="760"/>
      <c r="M3" s="760"/>
      <c r="N3" s="760"/>
      <c r="O3" s="760"/>
      <c r="P3" s="757" t="s">
        <v>283</v>
      </c>
      <c r="Q3" s="757" t="s">
        <v>284</v>
      </c>
      <c r="R3" s="757" t="s">
        <v>285</v>
      </c>
      <c r="AB3"/>
      <c r="AE3" s="21"/>
      <c r="AI3" s="21"/>
      <c r="AV3" s="716"/>
      <c r="AW3" s="716"/>
      <c r="AX3" s="716"/>
      <c r="AY3"/>
      <c r="AZ3"/>
    </row>
    <row r="4" spans="1:52" s="205" customFormat="1" ht="15.75" thickBot="1">
      <c r="A4" s="1316"/>
      <c r="B4" s="206" t="s">
        <v>122</v>
      </c>
      <c r="C4" s="203">
        <v>47119</v>
      </c>
      <c r="D4" s="204">
        <f>EOMONTH(C4,3)</f>
        <v>47238</v>
      </c>
      <c r="E4" s="204">
        <f t="shared" ref="E4:AK4" si="0">EOMONTH(D4,3)</f>
        <v>47330</v>
      </c>
      <c r="F4" s="204">
        <f t="shared" si="0"/>
        <v>47422</v>
      </c>
      <c r="G4" s="204">
        <f t="shared" si="0"/>
        <v>47514</v>
      </c>
      <c r="H4" s="204">
        <f t="shared" si="0"/>
        <v>47603</v>
      </c>
      <c r="I4" s="204">
        <f t="shared" si="0"/>
        <v>47695</v>
      </c>
      <c r="J4" s="204">
        <f t="shared" si="0"/>
        <v>47787</v>
      </c>
      <c r="K4" s="204">
        <f t="shared" si="0"/>
        <v>47879</v>
      </c>
      <c r="L4" s="204">
        <f t="shared" si="0"/>
        <v>47968</v>
      </c>
      <c r="M4" s="204">
        <f t="shared" si="0"/>
        <v>48060</v>
      </c>
      <c r="N4" s="204">
        <f t="shared" si="0"/>
        <v>48152</v>
      </c>
      <c r="O4" s="204">
        <f t="shared" si="0"/>
        <v>48244</v>
      </c>
      <c r="P4" s="204">
        <f t="shared" si="0"/>
        <v>48334</v>
      </c>
      <c r="Q4" s="204">
        <f t="shared" si="0"/>
        <v>48426</v>
      </c>
      <c r="R4" s="204">
        <f t="shared" si="0"/>
        <v>48518</v>
      </c>
      <c r="S4" s="246">
        <f t="shared" si="0"/>
        <v>48610</v>
      </c>
      <c r="T4" s="246">
        <f t="shared" si="0"/>
        <v>48699</v>
      </c>
      <c r="U4" s="246">
        <f t="shared" si="0"/>
        <v>48791</v>
      </c>
      <c r="V4" s="246">
        <f t="shared" si="0"/>
        <v>48883</v>
      </c>
      <c r="W4" s="246">
        <f t="shared" si="0"/>
        <v>48975</v>
      </c>
      <c r="X4" s="246">
        <f t="shared" si="0"/>
        <v>49064</v>
      </c>
      <c r="Y4" s="246">
        <f t="shared" si="0"/>
        <v>49156</v>
      </c>
      <c r="Z4" s="246">
        <f t="shared" si="0"/>
        <v>49248</v>
      </c>
      <c r="AA4" s="246">
        <f t="shared" si="0"/>
        <v>49340</v>
      </c>
      <c r="AB4" s="246">
        <f t="shared" si="0"/>
        <v>49429</v>
      </c>
      <c r="AC4" s="246">
        <f t="shared" si="0"/>
        <v>49521</v>
      </c>
      <c r="AD4" s="246">
        <f t="shared" si="0"/>
        <v>49613</v>
      </c>
      <c r="AE4" s="246">
        <f t="shared" si="0"/>
        <v>49705</v>
      </c>
      <c r="AF4" s="246">
        <f t="shared" si="0"/>
        <v>49795</v>
      </c>
      <c r="AG4" s="246">
        <f t="shared" si="0"/>
        <v>49887</v>
      </c>
      <c r="AH4" s="246">
        <f t="shared" si="0"/>
        <v>49979</v>
      </c>
      <c r="AI4" s="246">
        <f t="shared" si="0"/>
        <v>50071</v>
      </c>
      <c r="AJ4" s="246">
        <f t="shared" si="0"/>
        <v>50160</v>
      </c>
      <c r="AK4" s="246">
        <f t="shared" si="0"/>
        <v>50252</v>
      </c>
      <c r="AL4" s="246">
        <f>EOMONTH(AK4,3)</f>
        <v>50344</v>
      </c>
      <c r="AM4" s="246">
        <f t="shared" ref="AM4:AU4" si="1">EOMONTH(AL4,3)</f>
        <v>50436</v>
      </c>
      <c r="AN4" s="246">
        <f t="shared" si="1"/>
        <v>50525</v>
      </c>
      <c r="AO4" s="246">
        <f t="shared" si="1"/>
        <v>50617</v>
      </c>
      <c r="AP4" s="246">
        <f t="shared" si="1"/>
        <v>50709</v>
      </c>
      <c r="AQ4" s="246">
        <f t="shared" si="1"/>
        <v>50801</v>
      </c>
      <c r="AR4" s="246">
        <f t="shared" si="1"/>
        <v>50890</v>
      </c>
      <c r="AS4" s="246">
        <f>EOMONTH(AR4,3)</f>
        <v>50982</v>
      </c>
      <c r="AT4" s="246">
        <f t="shared" si="1"/>
        <v>51074</v>
      </c>
      <c r="AU4" s="246">
        <f t="shared" si="1"/>
        <v>51166</v>
      </c>
      <c r="AV4" s="246" t="s">
        <v>257</v>
      </c>
      <c r="AW4" s="453" t="s">
        <v>258</v>
      </c>
      <c r="AX4" s="453"/>
      <c r="AY4"/>
      <c r="AZ4"/>
    </row>
    <row r="5" spans="1:52" ht="15.75" thickBot="1">
      <c r="A5" s="207" t="s">
        <v>259</v>
      </c>
      <c r="B5" s="208">
        <v>1</v>
      </c>
      <c r="C5" s="239">
        <v>0</v>
      </c>
      <c r="D5" s="239">
        <v>0</v>
      </c>
      <c r="E5" s="239">
        <v>0.05</v>
      </c>
      <c r="F5" s="239">
        <v>0.05</v>
      </c>
      <c r="G5" s="238">
        <v>0.05</v>
      </c>
      <c r="H5" s="238">
        <v>0.1</v>
      </c>
      <c r="I5" s="238">
        <v>0.1</v>
      </c>
      <c r="J5" s="238">
        <v>0.1</v>
      </c>
      <c r="K5" s="238">
        <v>0.1</v>
      </c>
      <c r="L5" s="238">
        <v>0.1</v>
      </c>
      <c r="M5" s="238">
        <v>0.1</v>
      </c>
      <c r="N5" s="238">
        <v>0.1</v>
      </c>
      <c r="O5" s="238">
        <v>0.1</v>
      </c>
      <c r="P5" s="238">
        <v>0.05</v>
      </c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48"/>
      <c r="AT5" s="248"/>
      <c r="AU5" s="248"/>
      <c r="AV5" s="382">
        <f>SUM(C5:AR5)</f>
        <v>0.99999999999999989</v>
      </c>
      <c r="AW5" s="383"/>
      <c r="AX5" s="216" t="s">
        <v>260</v>
      </c>
      <c r="AY5"/>
      <c r="AZ5"/>
    </row>
    <row r="6" spans="1:52" ht="15">
      <c r="A6" s="173" t="str">
        <f>'Lower Cascade Financial'!A49</f>
        <v>Hard Costs for Construction</v>
      </c>
      <c r="B6" s="209">
        <f>'Lower Cascade Financial'!C49</f>
        <v>130795200</v>
      </c>
      <c r="C6" s="386">
        <f>$B6*C$5</f>
        <v>0</v>
      </c>
      <c r="D6" s="386">
        <f t="shared" ref="D6:P21" si="2">$B6*D$5</f>
        <v>0</v>
      </c>
      <c r="E6" s="386">
        <f t="shared" si="2"/>
        <v>6539760</v>
      </c>
      <c r="F6" s="386">
        <f t="shared" si="2"/>
        <v>6539760</v>
      </c>
      <c r="G6" s="386">
        <f t="shared" si="2"/>
        <v>6539760</v>
      </c>
      <c r="H6" s="386">
        <f t="shared" si="2"/>
        <v>13079520</v>
      </c>
      <c r="I6" s="386">
        <f t="shared" si="2"/>
        <v>13079520</v>
      </c>
      <c r="J6" s="386">
        <f t="shared" si="2"/>
        <v>13079520</v>
      </c>
      <c r="K6" s="386">
        <f t="shared" si="2"/>
        <v>13079520</v>
      </c>
      <c r="L6" s="386">
        <f t="shared" si="2"/>
        <v>13079520</v>
      </c>
      <c r="M6" s="386">
        <f t="shared" si="2"/>
        <v>13079520</v>
      </c>
      <c r="N6" s="386">
        <f t="shared" si="2"/>
        <v>13079520</v>
      </c>
      <c r="O6" s="386">
        <f t="shared" si="2"/>
        <v>13079520</v>
      </c>
      <c r="P6" s="386">
        <f t="shared" si="2"/>
        <v>6539760</v>
      </c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87">
        <f>SUM(C6:AU6)</f>
        <v>130795200</v>
      </c>
      <c r="AW6" s="387">
        <f t="shared" ref="AW6:AW26" si="3">B6</f>
        <v>130795200</v>
      </c>
      <c r="AX6" s="387">
        <f>AW6-AV6</f>
        <v>0</v>
      </c>
      <c r="AY6"/>
      <c r="AZ6"/>
    </row>
    <row r="7" spans="1:52" ht="15">
      <c r="A7" s="384" t="str">
        <f>'Lower Cascade Financial'!A50</f>
        <v>Parking stalls</v>
      </c>
      <c r="B7" s="417">
        <f>'Lower Cascade Financial'!C50</f>
        <v>25200000</v>
      </c>
      <c r="C7" s="386">
        <f t="shared" ref="C7:P26" si="4">$B7*C$5</f>
        <v>0</v>
      </c>
      <c r="D7" s="386">
        <f t="shared" si="2"/>
        <v>0</v>
      </c>
      <c r="E7" s="386">
        <f t="shared" si="2"/>
        <v>1260000</v>
      </c>
      <c r="F7" s="386">
        <f t="shared" si="2"/>
        <v>1260000</v>
      </c>
      <c r="G7" s="386">
        <f t="shared" si="2"/>
        <v>1260000</v>
      </c>
      <c r="H7" s="386">
        <f t="shared" si="2"/>
        <v>2520000</v>
      </c>
      <c r="I7" s="386">
        <f t="shared" si="2"/>
        <v>2520000</v>
      </c>
      <c r="J7" s="386">
        <f t="shared" si="2"/>
        <v>2520000</v>
      </c>
      <c r="K7" s="386">
        <f t="shared" si="2"/>
        <v>2520000</v>
      </c>
      <c r="L7" s="386">
        <f t="shared" si="2"/>
        <v>2520000</v>
      </c>
      <c r="M7" s="386">
        <f t="shared" si="2"/>
        <v>2520000</v>
      </c>
      <c r="N7" s="386">
        <f t="shared" si="2"/>
        <v>2520000</v>
      </c>
      <c r="O7" s="386">
        <f t="shared" si="2"/>
        <v>2520000</v>
      </c>
      <c r="P7" s="386">
        <f t="shared" si="2"/>
        <v>1260000</v>
      </c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87">
        <f t="shared" ref="AV7:AV26" si="5">SUM(C7:AU7)</f>
        <v>25200000</v>
      </c>
      <c r="AW7" s="387">
        <f t="shared" si="3"/>
        <v>25200000</v>
      </c>
      <c r="AX7" s="387">
        <f t="shared" ref="AX7:AX26" si="6">AW7-AV7</f>
        <v>0</v>
      </c>
      <c r="AY7"/>
      <c r="AZ7"/>
    </row>
    <row r="8" spans="1:52" ht="15">
      <c r="A8" s="384" t="str">
        <f>'Lower Cascade Financial'!A51</f>
        <v>Hard Cost Contingency</v>
      </c>
      <c r="B8" s="417">
        <f>'Lower Cascade Financial'!C51</f>
        <v>13079520</v>
      </c>
      <c r="C8" s="386">
        <f t="shared" si="4"/>
        <v>0</v>
      </c>
      <c r="D8" s="386">
        <f t="shared" si="2"/>
        <v>0</v>
      </c>
      <c r="E8" s="386">
        <f t="shared" si="2"/>
        <v>653976</v>
      </c>
      <c r="F8" s="386">
        <f t="shared" si="2"/>
        <v>653976</v>
      </c>
      <c r="G8" s="386">
        <f t="shared" si="2"/>
        <v>653976</v>
      </c>
      <c r="H8" s="386">
        <f t="shared" si="2"/>
        <v>1307952</v>
      </c>
      <c r="I8" s="386">
        <f t="shared" si="2"/>
        <v>1307952</v>
      </c>
      <c r="J8" s="386">
        <f t="shared" si="2"/>
        <v>1307952</v>
      </c>
      <c r="K8" s="386">
        <f t="shared" si="2"/>
        <v>1307952</v>
      </c>
      <c r="L8" s="386">
        <f t="shared" si="2"/>
        <v>1307952</v>
      </c>
      <c r="M8" s="386">
        <f t="shared" si="2"/>
        <v>1307952</v>
      </c>
      <c r="N8" s="386">
        <f t="shared" si="2"/>
        <v>1307952</v>
      </c>
      <c r="O8" s="386">
        <f t="shared" si="2"/>
        <v>1307952</v>
      </c>
      <c r="P8" s="386">
        <f t="shared" si="2"/>
        <v>653976</v>
      </c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  <c r="AS8" s="386"/>
      <c r="AT8" s="386"/>
      <c r="AU8" s="386"/>
      <c r="AV8" s="387">
        <f t="shared" si="5"/>
        <v>13079520</v>
      </c>
      <c r="AW8" s="387">
        <f t="shared" si="3"/>
        <v>13079520</v>
      </c>
      <c r="AX8" s="387">
        <f t="shared" si="6"/>
        <v>0</v>
      </c>
      <c r="AY8"/>
      <c r="AZ8"/>
    </row>
    <row r="9" spans="1:52" ht="15">
      <c r="A9" s="384" t="str">
        <f>'Lower Cascade Financial'!A52</f>
        <v>Demolition</v>
      </c>
      <c r="B9" s="417">
        <f>'Lower Cascade Financial'!C52</f>
        <v>899428</v>
      </c>
      <c r="C9" s="386">
        <f>B9</f>
        <v>899428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6">
        <v>0</v>
      </c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6"/>
      <c r="AU9" s="386"/>
      <c r="AV9" s="387">
        <f t="shared" si="5"/>
        <v>899428</v>
      </c>
      <c r="AW9" s="387">
        <f t="shared" si="3"/>
        <v>899428</v>
      </c>
      <c r="AX9" s="387">
        <f t="shared" si="6"/>
        <v>0</v>
      </c>
      <c r="AY9"/>
      <c r="AZ9"/>
    </row>
    <row r="10" spans="1:52" ht="15">
      <c r="A10" s="384" t="str">
        <f>'Lower Cascade Financial'!A53</f>
        <v>LAND</v>
      </c>
      <c r="B10" s="417">
        <f>'Lower Cascade Financial'!C53</f>
        <v>48900000</v>
      </c>
      <c r="C10" s="386">
        <f>B10</f>
        <v>48900000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454"/>
      <c r="AF10" s="454"/>
      <c r="AG10" s="454"/>
      <c r="AH10" s="454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387">
        <f t="shared" si="5"/>
        <v>48900000</v>
      </c>
      <c r="AW10" s="387">
        <f t="shared" si="3"/>
        <v>48900000</v>
      </c>
      <c r="AX10" s="387">
        <f t="shared" si="6"/>
        <v>0</v>
      </c>
      <c r="AY10"/>
      <c r="AZ10"/>
    </row>
    <row r="11" spans="1:52" ht="15">
      <c r="A11" s="384" t="str">
        <f>'Lower Cascade Financial'!A54</f>
        <v>Municipal Fees and Allowances</v>
      </c>
      <c r="B11" s="417">
        <f>'Lower Cascade Financial'!C54</f>
        <v>921000</v>
      </c>
      <c r="C11" s="386">
        <f>B11</f>
        <v>921000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v>0</v>
      </c>
      <c r="M11" s="386">
        <v>0</v>
      </c>
      <c r="N11" s="386">
        <v>0</v>
      </c>
      <c r="O11" s="386">
        <v>0</v>
      </c>
      <c r="P11" s="386">
        <v>0</v>
      </c>
      <c r="Q11" s="388"/>
      <c r="R11" s="388"/>
      <c r="S11" s="389"/>
      <c r="T11" s="386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454"/>
      <c r="AF11" s="454"/>
      <c r="AG11" s="454"/>
      <c r="AH11" s="454"/>
      <c r="AI11" s="454"/>
      <c r="AJ11" s="454"/>
      <c r="AK11" s="455"/>
      <c r="AL11" s="456"/>
      <c r="AM11" s="454"/>
      <c r="AN11" s="454"/>
      <c r="AO11" s="454"/>
      <c r="AP11" s="455"/>
      <c r="AQ11" s="454"/>
      <c r="AR11" s="454"/>
      <c r="AS11" s="454"/>
      <c r="AT11" s="454"/>
      <c r="AU11" s="454"/>
      <c r="AV11" s="387">
        <f t="shared" si="5"/>
        <v>921000</v>
      </c>
      <c r="AW11" s="387">
        <f t="shared" si="3"/>
        <v>921000</v>
      </c>
      <c r="AX11" s="387">
        <f t="shared" si="6"/>
        <v>0</v>
      </c>
      <c r="AY11"/>
      <c r="AZ11"/>
    </row>
    <row r="12" spans="1:52" ht="15">
      <c r="A12" s="384" t="str">
        <f>'Lower Cascade Financial'!A55</f>
        <v>Infrastructure allocation</v>
      </c>
      <c r="B12" s="417">
        <f>'Lower Cascade Financial'!C55</f>
        <v>4000000</v>
      </c>
      <c r="C12" s="386">
        <f t="shared" si="4"/>
        <v>0</v>
      </c>
      <c r="D12" s="386">
        <f t="shared" si="2"/>
        <v>0</v>
      </c>
      <c r="E12" s="386">
        <f t="shared" si="2"/>
        <v>200000</v>
      </c>
      <c r="F12" s="386">
        <f t="shared" si="2"/>
        <v>200000</v>
      </c>
      <c r="G12" s="386">
        <f t="shared" si="2"/>
        <v>200000</v>
      </c>
      <c r="H12" s="386">
        <f t="shared" si="2"/>
        <v>400000</v>
      </c>
      <c r="I12" s="386">
        <f t="shared" si="2"/>
        <v>400000</v>
      </c>
      <c r="J12" s="386">
        <f t="shared" si="2"/>
        <v>400000</v>
      </c>
      <c r="K12" s="386">
        <f t="shared" si="2"/>
        <v>400000</v>
      </c>
      <c r="L12" s="386">
        <f t="shared" si="2"/>
        <v>400000</v>
      </c>
      <c r="M12" s="386">
        <f t="shared" si="2"/>
        <v>400000</v>
      </c>
      <c r="N12" s="386">
        <f t="shared" si="2"/>
        <v>400000</v>
      </c>
      <c r="O12" s="386">
        <f t="shared" si="2"/>
        <v>400000</v>
      </c>
      <c r="P12" s="386">
        <f t="shared" si="2"/>
        <v>200000</v>
      </c>
      <c r="Q12" s="388"/>
      <c r="R12" s="388"/>
      <c r="S12" s="386"/>
      <c r="T12" s="386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454"/>
      <c r="AF12" s="454"/>
      <c r="AG12" s="454"/>
      <c r="AH12" s="454"/>
      <c r="AI12" s="454"/>
      <c r="AJ12" s="454"/>
      <c r="AK12" s="455"/>
      <c r="AL12" s="456"/>
      <c r="AM12" s="454"/>
      <c r="AN12" s="454"/>
      <c r="AO12" s="454"/>
      <c r="AP12" s="455"/>
      <c r="AQ12" s="454"/>
      <c r="AR12" s="457"/>
      <c r="AS12" s="457"/>
      <c r="AT12" s="457"/>
      <c r="AU12" s="457"/>
      <c r="AV12" s="387">
        <f t="shared" si="5"/>
        <v>4000000</v>
      </c>
      <c r="AW12" s="387">
        <f t="shared" si="3"/>
        <v>4000000</v>
      </c>
      <c r="AX12" s="387">
        <f t="shared" si="6"/>
        <v>0</v>
      </c>
      <c r="AY12"/>
      <c r="AZ12"/>
    </row>
    <row r="13" spans="1:52" ht="15">
      <c r="A13" s="384" t="str">
        <f>'Lower Cascade Financial'!A56</f>
        <v>Legal</v>
      </c>
      <c r="B13" s="417">
        <f>'Lower Cascade Financial'!C56</f>
        <v>400000</v>
      </c>
      <c r="C13" s="386">
        <f t="shared" si="4"/>
        <v>0</v>
      </c>
      <c r="D13" s="386">
        <f t="shared" si="2"/>
        <v>0</v>
      </c>
      <c r="E13" s="386">
        <f t="shared" si="2"/>
        <v>20000</v>
      </c>
      <c r="F13" s="386">
        <f t="shared" si="2"/>
        <v>20000</v>
      </c>
      <c r="G13" s="386">
        <f t="shared" si="2"/>
        <v>20000</v>
      </c>
      <c r="H13" s="386">
        <f t="shared" si="2"/>
        <v>40000</v>
      </c>
      <c r="I13" s="386">
        <f t="shared" si="2"/>
        <v>40000</v>
      </c>
      <c r="J13" s="386">
        <f t="shared" si="2"/>
        <v>40000</v>
      </c>
      <c r="K13" s="386">
        <f t="shared" si="2"/>
        <v>40000</v>
      </c>
      <c r="L13" s="386">
        <f t="shared" si="2"/>
        <v>40000</v>
      </c>
      <c r="M13" s="386">
        <f t="shared" si="2"/>
        <v>40000</v>
      </c>
      <c r="N13" s="386">
        <f t="shared" si="2"/>
        <v>40000</v>
      </c>
      <c r="O13" s="386">
        <f t="shared" si="2"/>
        <v>40000</v>
      </c>
      <c r="P13" s="386">
        <f t="shared" si="2"/>
        <v>20000</v>
      </c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458"/>
      <c r="AL13" s="459"/>
      <c r="AM13" s="388"/>
      <c r="AN13" s="388"/>
      <c r="AO13" s="388"/>
      <c r="AP13" s="458"/>
      <c r="AQ13" s="388"/>
      <c r="AR13" s="388"/>
      <c r="AS13" s="388"/>
      <c r="AT13" s="388"/>
      <c r="AU13" s="388"/>
      <c r="AV13" s="387">
        <f t="shared" si="5"/>
        <v>400000</v>
      </c>
      <c r="AW13" s="387">
        <f t="shared" si="3"/>
        <v>400000</v>
      </c>
      <c r="AX13" s="387">
        <f t="shared" si="6"/>
        <v>0</v>
      </c>
      <c r="AY13"/>
      <c r="AZ13"/>
    </row>
    <row r="14" spans="1:52" ht="15">
      <c r="A14" s="384" t="str">
        <f>'Lower Cascade Financial'!A57</f>
        <v>Land Closing Costs/commissions</v>
      </c>
      <c r="B14" s="417">
        <f>'Lower Cascade Financial'!C57</f>
        <v>489000</v>
      </c>
      <c r="C14" s="386">
        <f>B14</f>
        <v>489000</v>
      </c>
      <c r="D14" s="386">
        <v>0</v>
      </c>
      <c r="E14" s="386">
        <v>0</v>
      </c>
      <c r="F14" s="386">
        <v>0</v>
      </c>
      <c r="G14" s="386">
        <v>0</v>
      </c>
      <c r="H14" s="386">
        <v>0</v>
      </c>
      <c r="I14" s="386">
        <v>0</v>
      </c>
      <c r="J14" s="386">
        <v>0</v>
      </c>
      <c r="K14" s="386">
        <v>0</v>
      </c>
      <c r="L14" s="386">
        <v>0</v>
      </c>
      <c r="M14" s="386">
        <v>0</v>
      </c>
      <c r="N14" s="386">
        <v>0</v>
      </c>
      <c r="O14" s="386">
        <v>0</v>
      </c>
      <c r="P14" s="386">
        <v>0</v>
      </c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9"/>
      <c r="AF14" s="389"/>
      <c r="AG14" s="389"/>
      <c r="AH14" s="389"/>
      <c r="AI14" s="389"/>
      <c r="AJ14" s="389"/>
      <c r="AK14" s="460"/>
      <c r="AL14" s="461"/>
      <c r="AM14" s="389"/>
      <c r="AN14" s="389"/>
      <c r="AO14" s="389"/>
      <c r="AP14" s="460"/>
      <c r="AQ14" s="389"/>
      <c r="AR14" s="389"/>
      <c r="AS14" s="389"/>
      <c r="AT14" s="389"/>
      <c r="AU14" s="389"/>
      <c r="AV14" s="387">
        <f t="shared" si="5"/>
        <v>489000</v>
      </c>
      <c r="AW14" s="387">
        <f t="shared" si="3"/>
        <v>489000</v>
      </c>
      <c r="AX14" s="387">
        <f t="shared" si="6"/>
        <v>0</v>
      </c>
      <c r="AY14"/>
      <c r="AZ14"/>
    </row>
    <row r="15" spans="1:52" ht="15">
      <c r="A15" s="384" t="str">
        <f>'Lower Cascade Financial'!A58</f>
        <v xml:space="preserve">Design </v>
      </c>
      <c r="B15" s="417">
        <f>'Lower Cascade Financial'!C58</f>
        <v>4679856</v>
      </c>
      <c r="C15" s="386">
        <f t="shared" si="4"/>
        <v>0</v>
      </c>
      <c r="D15" s="386">
        <f t="shared" si="2"/>
        <v>0</v>
      </c>
      <c r="E15" s="386">
        <f t="shared" si="2"/>
        <v>233992.80000000002</v>
      </c>
      <c r="F15" s="386">
        <f t="shared" si="2"/>
        <v>233992.80000000002</v>
      </c>
      <c r="G15" s="386">
        <f t="shared" si="2"/>
        <v>233992.80000000002</v>
      </c>
      <c r="H15" s="386">
        <f t="shared" si="2"/>
        <v>467985.60000000003</v>
      </c>
      <c r="I15" s="386">
        <f t="shared" si="2"/>
        <v>467985.60000000003</v>
      </c>
      <c r="J15" s="386">
        <f t="shared" si="2"/>
        <v>467985.60000000003</v>
      </c>
      <c r="K15" s="386">
        <f t="shared" si="2"/>
        <v>467985.60000000003</v>
      </c>
      <c r="L15" s="386">
        <f t="shared" si="2"/>
        <v>467985.60000000003</v>
      </c>
      <c r="M15" s="386">
        <f t="shared" si="2"/>
        <v>467985.60000000003</v>
      </c>
      <c r="N15" s="386">
        <f t="shared" si="2"/>
        <v>467985.60000000003</v>
      </c>
      <c r="O15" s="386">
        <f t="shared" si="2"/>
        <v>467985.60000000003</v>
      </c>
      <c r="P15" s="386">
        <f t="shared" si="2"/>
        <v>233992.80000000002</v>
      </c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9"/>
      <c r="AR15" s="389"/>
      <c r="AS15" s="389"/>
      <c r="AT15" s="389"/>
      <c r="AU15" s="389"/>
      <c r="AV15" s="387">
        <f t="shared" si="5"/>
        <v>4679856</v>
      </c>
      <c r="AW15" s="387">
        <f t="shared" si="3"/>
        <v>4679856</v>
      </c>
      <c r="AX15" s="387">
        <f t="shared" si="6"/>
        <v>0</v>
      </c>
      <c r="AY15"/>
      <c r="AZ15"/>
    </row>
    <row r="16" spans="1:52" ht="15">
      <c r="A16" s="384" t="str">
        <f>'Lower Cascade Financial'!A59</f>
        <v>Developer Fee</v>
      </c>
      <c r="B16" s="417">
        <f>'Lower Cascade Financial'!C59</f>
        <v>6880920.1200000001</v>
      </c>
      <c r="C16" s="386">
        <f t="shared" si="4"/>
        <v>0</v>
      </c>
      <c r="D16" s="386">
        <f t="shared" si="2"/>
        <v>0</v>
      </c>
      <c r="E16" s="386">
        <f t="shared" si="2"/>
        <v>344046.00600000005</v>
      </c>
      <c r="F16" s="386">
        <f t="shared" si="2"/>
        <v>344046.00600000005</v>
      </c>
      <c r="G16" s="386">
        <f t="shared" si="2"/>
        <v>344046.00600000005</v>
      </c>
      <c r="H16" s="386">
        <f t="shared" si="2"/>
        <v>688092.0120000001</v>
      </c>
      <c r="I16" s="386">
        <f t="shared" si="2"/>
        <v>688092.0120000001</v>
      </c>
      <c r="J16" s="386">
        <f t="shared" si="2"/>
        <v>688092.0120000001</v>
      </c>
      <c r="K16" s="386">
        <f t="shared" si="2"/>
        <v>688092.0120000001</v>
      </c>
      <c r="L16" s="386">
        <f t="shared" si="2"/>
        <v>688092.0120000001</v>
      </c>
      <c r="M16" s="386">
        <f t="shared" si="2"/>
        <v>688092.0120000001</v>
      </c>
      <c r="N16" s="386">
        <f t="shared" si="2"/>
        <v>688092.0120000001</v>
      </c>
      <c r="O16" s="386">
        <f t="shared" si="2"/>
        <v>688092.0120000001</v>
      </c>
      <c r="P16" s="386">
        <f t="shared" si="2"/>
        <v>344046.00600000005</v>
      </c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386"/>
      <c r="AM16" s="386"/>
      <c r="AN16" s="386"/>
      <c r="AO16" s="386"/>
      <c r="AP16" s="386"/>
      <c r="AQ16" s="386"/>
      <c r="AR16" s="386"/>
      <c r="AS16" s="386"/>
      <c r="AT16" s="386"/>
      <c r="AU16" s="386"/>
      <c r="AV16" s="387">
        <f t="shared" si="5"/>
        <v>6880920.120000001</v>
      </c>
      <c r="AW16" s="387">
        <f t="shared" si="3"/>
        <v>6880920.1200000001</v>
      </c>
      <c r="AX16" s="387">
        <f t="shared" si="6"/>
        <v>0</v>
      </c>
      <c r="AY16"/>
      <c r="AZ16"/>
    </row>
    <row r="17" spans="1:52" ht="15">
      <c r="A17" s="384" t="str">
        <f>'Lower Cascade Financial'!A60</f>
        <v>Construction Management Fee</v>
      </c>
      <c r="B17" s="417">
        <f>'Lower Cascade Financial'!C60</f>
        <v>3119904</v>
      </c>
      <c r="C17" s="386">
        <f t="shared" si="4"/>
        <v>0</v>
      </c>
      <c r="D17" s="386">
        <f t="shared" si="2"/>
        <v>0</v>
      </c>
      <c r="E17" s="386">
        <f t="shared" si="2"/>
        <v>155995.20000000001</v>
      </c>
      <c r="F17" s="386">
        <f t="shared" si="2"/>
        <v>155995.20000000001</v>
      </c>
      <c r="G17" s="386">
        <f t="shared" si="2"/>
        <v>155995.20000000001</v>
      </c>
      <c r="H17" s="386">
        <f t="shared" si="2"/>
        <v>311990.40000000002</v>
      </c>
      <c r="I17" s="386">
        <f t="shared" si="2"/>
        <v>311990.40000000002</v>
      </c>
      <c r="J17" s="386">
        <f t="shared" si="2"/>
        <v>311990.40000000002</v>
      </c>
      <c r="K17" s="386">
        <f t="shared" si="2"/>
        <v>311990.40000000002</v>
      </c>
      <c r="L17" s="386">
        <f t="shared" si="2"/>
        <v>311990.40000000002</v>
      </c>
      <c r="M17" s="386">
        <f t="shared" si="2"/>
        <v>311990.40000000002</v>
      </c>
      <c r="N17" s="386">
        <f t="shared" si="2"/>
        <v>311990.40000000002</v>
      </c>
      <c r="O17" s="386">
        <f t="shared" si="2"/>
        <v>311990.40000000002</v>
      </c>
      <c r="P17" s="386">
        <f t="shared" si="2"/>
        <v>155995.20000000001</v>
      </c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386"/>
      <c r="AK17" s="386"/>
      <c r="AL17" s="386"/>
      <c r="AM17" s="386"/>
      <c r="AN17" s="386"/>
      <c r="AO17" s="386"/>
      <c r="AP17" s="386"/>
      <c r="AQ17" s="386"/>
      <c r="AR17" s="386"/>
      <c r="AS17" s="386"/>
      <c r="AT17" s="386"/>
      <c r="AU17" s="386"/>
      <c r="AV17" s="387">
        <f t="shared" si="5"/>
        <v>3119903.9999999995</v>
      </c>
      <c r="AW17" s="387">
        <f t="shared" si="3"/>
        <v>3119904</v>
      </c>
      <c r="AX17" s="387">
        <f t="shared" si="6"/>
        <v>0</v>
      </c>
      <c r="AY17"/>
      <c r="AZ17"/>
    </row>
    <row r="18" spans="1:52" ht="15">
      <c r="A18" s="384" t="str">
        <f>'Lower Cascade Financial'!A61</f>
        <v>Taxes</v>
      </c>
      <c r="B18" s="417">
        <f>'Lower Cascade Financial'!C61</f>
        <v>1295361</v>
      </c>
      <c r="C18" s="386">
        <f t="shared" si="4"/>
        <v>0</v>
      </c>
      <c r="D18" s="386">
        <f t="shared" si="2"/>
        <v>0</v>
      </c>
      <c r="E18" s="386">
        <f t="shared" si="2"/>
        <v>64768.05</v>
      </c>
      <c r="F18" s="386">
        <f t="shared" si="2"/>
        <v>64768.05</v>
      </c>
      <c r="G18" s="386">
        <f t="shared" si="2"/>
        <v>64768.05</v>
      </c>
      <c r="H18" s="386">
        <f t="shared" si="2"/>
        <v>129536.1</v>
      </c>
      <c r="I18" s="386">
        <f t="shared" si="2"/>
        <v>129536.1</v>
      </c>
      <c r="J18" s="386">
        <f t="shared" si="2"/>
        <v>129536.1</v>
      </c>
      <c r="K18" s="386">
        <f t="shared" si="2"/>
        <v>129536.1</v>
      </c>
      <c r="L18" s="386">
        <f t="shared" si="2"/>
        <v>129536.1</v>
      </c>
      <c r="M18" s="386">
        <f t="shared" si="2"/>
        <v>129536.1</v>
      </c>
      <c r="N18" s="386">
        <f t="shared" si="2"/>
        <v>129536.1</v>
      </c>
      <c r="O18" s="386">
        <f t="shared" si="2"/>
        <v>129536.1</v>
      </c>
      <c r="P18" s="386">
        <f t="shared" si="2"/>
        <v>64768.05</v>
      </c>
      <c r="Q18" s="386"/>
      <c r="R18" s="386"/>
      <c r="S18" s="240"/>
      <c r="T18" s="386"/>
      <c r="U18" s="240"/>
      <c r="V18" s="386"/>
      <c r="W18" s="386"/>
      <c r="X18" s="240"/>
      <c r="Y18" s="386"/>
      <c r="Z18" s="386"/>
      <c r="AA18" s="386"/>
      <c r="AB18" s="386"/>
      <c r="AC18" s="386"/>
      <c r="AD18" s="386"/>
      <c r="AE18" s="240"/>
      <c r="AF18" s="386"/>
      <c r="AG18" s="240"/>
      <c r="AH18" s="386"/>
      <c r="AI18" s="389"/>
      <c r="AJ18" s="386"/>
      <c r="AK18" s="386"/>
      <c r="AL18" s="386"/>
      <c r="AM18" s="386"/>
      <c r="AN18" s="386"/>
      <c r="AO18" s="386"/>
      <c r="AP18" s="462"/>
      <c r="AQ18" s="386"/>
      <c r="AR18" s="386"/>
      <c r="AS18" s="386"/>
      <c r="AT18" s="386"/>
      <c r="AU18" s="386"/>
      <c r="AV18" s="387">
        <f t="shared" si="5"/>
        <v>1295361</v>
      </c>
      <c r="AW18" s="387">
        <f t="shared" si="3"/>
        <v>1295361</v>
      </c>
      <c r="AX18" s="387">
        <f t="shared" si="6"/>
        <v>0</v>
      </c>
      <c r="AY18"/>
      <c r="AZ18"/>
    </row>
    <row r="19" spans="1:52" ht="15">
      <c r="A19" s="384" t="str">
        <f>'Lower Cascade Financial'!A62</f>
        <v>Insurance</v>
      </c>
      <c r="B19" s="417">
        <f>'Lower Cascade Financial'!C62</f>
        <v>791100</v>
      </c>
      <c r="C19" s="386">
        <f t="shared" si="4"/>
        <v>0</v>
      </c>
      <c r="D19" s="386">
        <f t="shared" si="2"/>
        <v>0</v>
      </c>
      <c r="E19" s="386">
        <f t="shared" si="2"/>
        <v>39555</v>
      </c>
      <c r="F19" s="386">
        <f t="shared" si="2"/>
        <v>39555</v>
      </c>
      <c r="G19" s="386">
        <f t="shared" si="2"/>
        <v>39555</v>
      </c>
      <c r="H19" s="386">
        <f t="shared" si="2"/>
        <v>79110</v>
      </c>
      <c r="I19" s="386">
        <f t="shared" si="2"/>
        <v>79110</v>
      </c>
      <c r="J19" s="386">
        <f t="shared" si="2"/>
        <v>79110</v>
      </c>
      <c r="K19" s="386">
        <f t="shared" si="2"/>
        <v>79110</v>
      </c>
      <c r="L19" s="386">
        <f t="shared" si="2"/>
        <v>79110</v>
      </c>
      <c r="M19" s="386">
        <f t="shared" si="2"/>
        <v>79110</v>
      </c>
      <c r="N19" s="386">
        <f t="shared" si="2"/>
        <v>79110</v>
      </c>
      <c r="O19" s="386">
        <f t="shared" si="2"/>
        <v>79110</v>
      </c>
      <c r="P19" s="386">
        <f t="shared" si="2"/>
        <v>39555</v>
      </c>
      <c r="Q19" s="386"/>
      <c r="R19" s="386"/>
      <c r="S19" s="386"/>
      <c r="T19" s="240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462"/>
      <c r="AL19" s="463"/>
      <c r="AM19" s="386"/>
      <c r="AN19" s="386"/>
      <c r="AO19" s="386"/>
      <c r="AP19" s="462"/>
      <c r="AQ19" s="386"/>
      <c r="AR19" s="386"/>
      <c r="AS19" s="386"/>
      <c r="AT19" s="386"/>
      <c r="AU19" s="386"/>
      <c r="AV19" s="387">
        <f t="shared" si="5"/>
        <v>791100</v>
      </c>
      <c r="AW19" s="387">
        <f t="shared" si="3"/>
        <v>791100</v>
      </c>
      <c r="AX19" s="387">
        <f t="shared" si="6"/>
        <v>0</v>
      </c>
      <c r="AY19"/>
      <c r="AZ19"/>
    </row>
    <row r="20" spans="1:52" ht="15">
      <c r="A20" s="384" t="str">
        <f>'Lower Cascade Financial'!A63</f>
        <v>Marketing, FFE and Preleasing</v>
      </c>
      <c r="B20" s="417">
        <f>'Lower Cascade Financial'!C63</f>
        <v>527400</v>
      </c>
      <c r="C20" s="386">
        <f t="shared" si="4"/>
        <v>0</v>
      </c>
      <c r="D20" s="386">
        <f t="shared" si="2"/>
        <v>0</v>
      </c>
      <c r="E20" s="386">
        <f t="shared" si="2"/>
        <v>26370</v>
      </c>
      <c r="F20" s="386">
        <f t="shared" si="2"/>
        <v>26370</v>
      </c>
      <c r="G20" s="386">
        <f t="shared" si="2"/>
        <v>26370</v>
      </c>
      <c r="H20" s="386">
        <f t="shared" si="2"/>
        <v>52740</v>
      </c>
      <c r="I20" s="386">
        <f t="shared" si="2"/>
        <v>52740</v>
      </c>
      <c r="J20" s="386">
        <f t="shared" si="2"/>
        <v>52740</v>
      </c>
      <c r="K20" s="386">
        <f t="shared" si="2"/>
        <v>52740</v>
      </c>
      <c r="L20" s="386">
        <f t="shared" si="2"/>
        <v>52740</v>
      </c>
      <c r="M20" s="386">
        <f t="shared" si="2"/>
        <v>52740</v>
      </c>
      <c r="N20" s="386">
        <f t="shared" si="2"/>
        <v>52740</v>
      </c>
      <c r="O20" s="386">
        <f t="shared" si="2"/>
        <v>52740</v>
      </c>
      <c r="P20" s="386">
        <f t="shared" si="2"/>
        <v>26370</v>
      </c>
      <c r="Q20" s="386"/>
      <c r="R20" s="386"/>
      <c r="S20" s="386"/>
      <c r="T20" s="386"/>
      <c r="U20" s="386"/>
      <c r="V20" s="386"/>
      <c r="W20" s="386"/>
      <c r="X20" s="395"/>
      <c r="Y20" s="395"/>
      <c r="Z20" s="395"/>
      <c r="AA20" s="395"/>
      <c r="AB20" s="464"/>
      <c r="AC20" s="389"/>
      <c r="AD20" s="389"/>
      <c r="AE20" s="386"/>
      <c r="AF20" s="240"/>
      <c r="AG20" s="240"/>
      <c r="AH20" s="240"/>
      <c r="AI20" s="395"/>
      <c r="AJ20" s="395"/>
      <c r="AK20" s="395"/>
      <c r="AL20" s="395"/>
      <c r="AM20" s="389"/>
      <c r="AN20" s="389"/>
      <c r="AO20" s="389"/>
      <c r="AP20" s="460"/>
      <c r="AQ20" s="389"/>
      <c r="AR20" s="389"/>
      <c r="AS20" s="389"/>
      <c r="AT20" s="389"/>
      <c r="AU20" s="389"/>
      <c r="AV20" s="387">
        <f t="shared" si="5"/>
        <v>527400</v>
      </c>
      <c r="AW20" s="387">
        <f t="shared" si="3"/>
        <v>527400</v>
      </c>
      <c r="AX20" s="387">
        <f t="shared" si="6"/>
        <v>0</v>
      </c>
      <c r="AY20"/>
      <c r="AZ20"/>
    </row>
    <row r="21" spans="1:52" ht="15">
      <c r="A21" s="384" t="str">
        <f>'Lower Cascade Financial'!A65</f>
        <v>Net interest during closeout</v>
      </c>
      <c r="B21" s="417">
        <f>'Lower Cascade Financial'!C65</f>
        <v>1728153</v>
      </c>
      <c r="C21" s="386">
        <f t="shared" si="4"/>
        <v>0</v>
      </c>
      <c r="D21" s="386">
        <f t="shared" si="2"/>
        <v>0</v>
      </c>
      <c r="E21" s="386">
        <f t="shared" si="2"/>
        <v>86407.650000000009</v>
      </c>
      <c r="F21" s="386">
        <f t="shared" si="2"/>
        <v>86407.650000000009</v>
      </c>
      <c r="G21" s="386">
        <f t="shared" si="2"/>
        <v>86407.650000000009</v>
      </c>
      <c r="H21" s="386">
        <f t="shared" si="2"/>
        <v>172815.30000000002</v>
      </c>
      <c r="I21" s="386">
        <f t="shared" si="2"/>
        <v>172815.30000000002</v>
      </c>
      <c r="J21" s="386">
        <f t="shared" si="2"/>
        <v>172815.30000000002</v>
      </c>
      <c r="K21" s="386">
        <f t="shared" si="2"/>
        <v>172815.30000000002</v>
      </c>
      <c r="L21" s="386">
        <f t="shared" si="2"/>
        <v>172815.30000000002</v>
      </c>
      <c r="M21" s="386">
        <f t="shared" si="2"/>
        <v>172815.30000000002</v>
      </c>
      <c r="N21" s="386">
        <f t="shared" si="2"/>
        <v>172815.30000000002</v>
      </c>
      <c r="O21" s="386">
        <f t="shared" si="2"/>
        <v>172815.30000000002</v>
      </c>
      <c r="P21" s="386">
        <f t="shared" si="2"/>
        <v>86407.650000000009</v>
      </c>
      <c r="Q21" s="386"/>
      <c r="R21" s="386"/>
      <c r="S21" s="386"/>
      <c r="T21" s="386"/>
      <c r="U21" s="386"/>
      <c r="V21" s="386"/>
      <c r="W21" s="386"/>
      <c r="X21" s="386"/>
      <c r="Y21" s="386"/>
      <c r="Z21" s="465"/>
      <c r="AA21" s="465"/>
      <c r="AB21" s="464"/>
      <c r="AC21" s="389"/>
      <c r="AD21" s="389"/>
      <c r="AE21" s="386"/>
      <c r="AF21" s="395"/>
      <c r="AG21" s="395"/>
      <c r="AH21" s="395"/>
      <c r="AI21" s="395"/>
      <c r="AJ21" s="240"/>
      <c r="AK21" s="247"/>
      <c r="AL21" s="247"/>
      <c r="AM21" s="247"/>
      <c r="AN21" s="247"/>
      <c r="AO21" s="247"/>
      <c r="AP21" s="247"/>
      <c r="AQ21" s="389"/>
      <c r="AR21" s="390"/>
      <c r="AS21" s="390"/>
      <c r="AT21" s="390"/>
      <c r="AU21" s="390"/>
      <c r="AV21" s="387">
        <f t="shared" si="5"/>
        <v>1728153.0000000002</v>
      </c>
      <c r="AW21" s="387">
        <f t="shared" si="3"/>
        <v>1728153</v>
      </c>
      <c r="AX21" s="387">
        <f t="shared" si="6"/>
        <v>0</v>
      </c>
      <c r="AY21"/>
      <c r="AZ21"/>
    </row>
    <row r="22" spans="1:52" ht="15">
      <c r="A22" s="384" t="str">
        <f>'Lower Cascade Financial'!A66</f>
        <v>Retail Tenant Improvements</v>
      </c>
      <c r="B22" s="417">
        <f>'Lower Cascade Financial'!C66</f>
        <v>46050</v>
      </c>
      <c r="C22" s="386">
        <f t="shared" si="4"/>
        <v>0</v>
      </c>
      <c r="D22" s="386">
        <f t="shared" si="4"/>
        <v>0</v>
      </c>
      <c r="E22" s="386">
        <f t="shared" si="4"/>
        <v>2302.5</v>
      </c>
      <c r="F22" s="386">
        <f t="shared" si="4"/>
        <v>2302.5</v>
      </c>
      <c r="G22" s="386">
        <f t="shared" si="4"/>
        <v>2302.5</v>
      </c>
      <c r="H22" s="386">
        <f t="shared" si="4"/>
        <v>4605</v>
      </c>
      <c r="I22" s="386">
        <f t="shared" si="4"/>
        <v>4605</v>
      </c>
      <c r="J22" s="386">
        <f t="shared" si="4"/>
        <v>4605</v>
      </c>
      <c r="K22" s="386">
        <f t="shared" si="4"/>
        <v>4605</v>
      </c>
      <c r="L22" s="386">
        <f t="shared" si="4"/>
        <v>4605</v>
      </c>
      <c r="M22" s="386">
        <f t="shared" si="4"/>
        <v>4605</v>
      </c>
      <c r="N22" s="386">
        <f t="shared" si="4"/>
        <v>4605</v>
      </c>
      <c r="O22" s="386">
        <f t="shared" si="4"/>
        <v>4605</v>
      </c>
      <c r="P22" s="386">
        <f t="shared" si="4"/>
        <v>2302.5</v>
      </c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9"/>
      <c r="AB22" s="464"/>
      <c r="AC22" s="390"/>
      <c r="AD22" s="389"/>
      <c r="AE22" s="386"/>
      <c r="AF22" s="395"/>
      <c r="AG22" s="395"/>
      <c r="AH22" s="395"/>
      <c r="AI22" s="395"/>
      <c r="AJ22" s="465"/>
      <c r="AK22" s="466"/>
      <c r="AL22" s="461"/>
      <c r="AM22" s="389"/>
      <c r="AN22" s="389"/>
      <c r="AO22" s="389"/>
      <c r="AP22" s="460"/>
      <c r="AQ22" s="389"/>
      <c r="AR22" s="389"/>
      <c r="AS22" s="389"/>
      <c r="AT22" s="389"/>
      <c r="AU22" s="389"/>
      <c r="AV22" s="387">
        <f t="shared" si="5"/>
        <v>46050</v>
      </c>
      <c r="AW22" s="387">
        <f t="shared" si="3"/>
        <v>46050</v>
      </c>
      <c r="AX22" s="387">
        <f t="shared" si="6"/>
        <v>0</v>
      </c>
      <c r="AY22"/>
      <c r="AZ22"/>
    </row>
    <row r="23" spans="1:52" ht="15">
      <c r="A23" s="384" t="str">
        <f>'Lower Cascade Financial'!A67</f>
        <v>Retail brokerage</v>
      </c>
      <c r="B23" s="417">
        <f>'Lower Cascade Financial'!C67</f>
        <v>516000</v>
      </c>
      <c r="C23" s="386">
        <f>B23</f>
        <v>516000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462"/>
      <c r="AL23" s="461"/>
      <c r="AM23" s="389"/>
      <c r="AN23" s="386"/>
      <c r="AO23" s="386"/>
      <c r="AP23" s="462"/>
      <c r="AQ23" s="386"/>
      <c r="AR23" s="386"/>
      <c r="AS23" s="386"/>
      <c r="AT23" s="386"/>
      <c r="AU23" s="386"/>
      <c r="AV23" s="387">
        <f t="shared" si="5"/>
        <v>516000</v>
      </c>
      <c r="AW23" s="387">
        <f t="shared" si="3"/>
        <v>516000</v>
      </c>
      <c r="AX23" s="387">
        <f t="shared" si="6"/>
        <v>0</v>
      </c>
      <c r="AY23"/>
      <c r="AZ23"/>
    </row>
    <row r="24" spans="1:52" ht="15">
      <c r="A24" s="384" t="str">
        <f>'Lower Cascade Financial'!A68</f>
        <v>Construction Loan Origination</v>
      </c>
      <c r="B24" s="417">
        <f>'Lower Cascade Financial'!C68</f>
        <v>2400045</v>
      </c>
      <c r="C24" s="386">
        <f>B24</f>
        <v>2400045</v>
      </c>
      <c r="D24" s="386">
        <v>0</v>
      </c>
      <c r="E24" s="386">
        <v>0</v>
      </c>
      <c r="F24" s="386">
        <v>0</v>
      </c>
      <c r="G24" s="386">
        <v>0</v>
      </c>
      <c r="H24" s="386">
        <v>0</v>
      </c>
      <c r="I24" s="386">
        <v>0</v>
      </c>
      <c r="J24" s="386">
        <v>0</v>
      </c>
      <c r="K24" s="386">
        <v>0</v>
      </c>
      <c r="L24" s="386">
        <v>0</v>
      </c>
      <c r="M24" s="386">
        <v>0</v>
      </c>
      <c r="N24" s="386">
        <v>0</v>
      </c>
      <c r="O24" s="386">
        <v>0</v>
      </c>
      <c r="P24" s="386">
        <v>0</v>
      </c>
      <c r="Q24" s="386"/>
      <c r="R24" s="386"/>
      <c r="S24" s="386"/>
      <c r="T24" s="386"/>
      <c r="U24" s="386"/>
      <c r="V24" s="386"/>
      <c r="W24" s="240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462"/>
      <c r="AL24" s="463"/>
      <c r="AM24" s="386"/>
      <c r="AN24" s="386"/>
      <c r="AO24" s="386"/>
      <c r="AP24" s="462"/>
      <c r="AQ24" s="386"/>
      <c r="AR24" s="386"/>
      <c r="AS24" s="386"/>
      <c r="AT24" s="386"/>
      <c r="AU24" s="386"/>
      <c r="AV24" s="387">
        <f t="shared" si="5"/>
        <v>2400045</v>
      </c>
      <c r="AW24" s="387">
        <f t="shared" si="3"/>
        <v>2400045</v>
      </c>
      <c r="AX24" s="387">
        <f t="shared" si="6"/>
        <v>0</v>
      </c>
      <c r="AY24"/>
      <c r="AZ24"/>
    </row>
    <row r="25" spans="1:52" ht="15">
      <c r="A25" s="384" t="str">
        <f>'Lower Cascade Financial'!A69</f>
        <v>Construction Interest</v>
      </c>
      <c r="B25" s="417">
        <f>'Lower Cascade Financial'!C69</f>
        <v>11521020</v>
      </c>
      <c r="C25" s="386">
        <f t="shared" si="4"/>
        <v>0</v>
      </c>
      <c r="D25" s="386">
        <f t="shared" si="4"/>
        <v>0</v>
      </c>
      <c r="E25" s="386">
        <f t="shared" si="4"/>
        <v>576051</v>
      </c>
      <c r="F25" s="386">
        <f t="shared" si="4"/>
        <v>576051</v>
      </c>
      <c r="G25" s="386">
        <f t="shared" si="4"/>
        <v>576051</v>
      </c>
      <c r="H25" s="386">
        <f t="shared" si="4"/>
        <v>1152102</v>
      </c>
      <c r="I25" s="386">
        <f t="shared" si="4"/>
        <v>1152102</v>
      </c>
      <c r="J25" s="386">
        <f t="shared" si="4"/>
        <v>1152102</v>
      </c>
      <c r="K25" s="386">
        <f t="shared" si="4"/>
        <v>1152102</v>
      </c>
      <c r="L25" s="386">
        <f t="shared" si="4"/>
        <v>1152102</v>
      </c>
      <c r="M25" s="386">
        <f t="shared" si="4"/>
        <v>1152102</v>
      </c>
      <c r="N25" s="386">
        <f t="shared" si="4"/>
        <v>1152102</v>
      </c>
      <c r="O25" s="386">
        <f t="shared" si="4"/>
        <v>1152102</v>
      </c>
      <c r="P25" s="386">
        <f t="shared" si="4"/>
        <v>576051</v>
      </c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  <c r="AI25" s="386"/>
      <c r="AJ25" s="386"/>
      <c r="AK25" s="386"/>
      <c r="AL25" s="386"/>
      <c r="AM25" s="386"/>
      <c r="AN25" s="386"/>
      <c r="AO25" s="386"/>
      <c r="AP25" s="386"/>
      <c r="AQ25" s="386"/>
      <c r="AR25" s="386"/>
      <c r="AS25" s="386"/>
      <c r="AT25" s="386"/>
      <c r="AU25" s="386"/>
      <c r="AV25" s="387">
        <f t="shared" si="5"/>
        <v>11521020</v>
      </c>
      <c r="AW25" s="387">
        <f t="shared" si="3"/>
        <v>11521020</v>
      </c>
      <c r="AX25" s="387">
        <f t="shared" si="6"/>
        <v>0</v>
      </c>
      <c r="AY25"/>
      <c r="AZ25"/>
    </row>
    <row r="26" spans="1:52" ht="15.75" thickBot="1">
      <c r="A26" s="467" t="str">
        <f>'Lower Cascade Financial'!A70</f>
        <v>Additional Contingency</v>
      </c>
      <c r="B26" s="400">
        <f>'Lower Cascade Financial'!C70</f>
        <v>2293640.04</v>
      </c>
      <c r="C26" s="399">
        <f t="shared" si="4"/>
        <v>0</v>
      </c>
      <c r="D26" s="399">
        <f t="shared" si="4"/>
        <v>0</v>
      </c>
      <c r="E26" s="399">
        <f t="shared" si="4"/>
        <v>114682.00200000001</v>
      </c>
      <c r="F26" s="399">
        <f t="shared" si="4"/>
        <v>114682.00200000001</v>
      </c>
      <c r="G26" s="399">
        <f t="shared" si="4"/>
        <v>114682.00200000001</v>
      </c>
      <c r="H26" s="399">
        <f t="shared" si="4"/>
        <v>229364.00400000002</v>
      </c>
      <c r="I26" s="399">
        <f t="shared" si="4"/>
        <v>229364.00400000002</v>
      </c>
      <c r="J26" s="399">
        <f t="shared" si="4"/>
        <v>229364.00400000002</v>
      </c>
      <c r="K26" s="399">
        <f t="shared" si="4"/>
        <v>229364.00400000002</v>
      </c>
      <c r="L26" s="399">
        <f t="shared" si="4"/>
        <v>229364.00400000002</v>
      </c>
      <c r="M26" s="399">
        <f t="shared" si="4"/>
        <v>229364.00400000002</v>
      </c>
      <c r="N26" s="399">
        <f t="shared" si="4"/>
        <v>229364.00400000002</v>
      </c>
      <c r="O26" s="399">
        <f t="shared" si="4"/>
        <v>229364.00400000002</v>
      </c>
      <c r="P26" s="399">
        <f t="shared" si="4"/>
        <v>114682.00200000001</v>
      </c>
      <c r="Q26" s="399"/>
      <c r="R26" s="399"/>
      <c r="S26" s="399"/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468"/>
      <c r="AN26" s="468"/>
      <c r="AO26" s="468"/>
      <c r="AP26" s="468"/>
      <c r="AQ26" s="469"/>
      <c r="AR26" s="469"/>
      <c r="AS26" s="469"/>
      <c r="AT26" s="469"/>
      <c r="AU26" s="469"/>
      <c r="AV26" s="387">
        <f t="shared" si="5"/>
        <v>2293640.0399999996</v>
      </c>
      <c r="AW26" s="387">
        <f t="shared" si="3"/>
        <v>2293640.04</v>
      </c>
      <c r="AX26" s="387">
        <f t="shared" si="6"/>
        <v>0</v>
      </c>
      <c r="AY26"/>
      <c r="AZ26"/>
    </row>
    <row r="27" spans="1:52" ht="16.5" thickTop="1" thickBot="1">
      <c r="A27" s="467" t="str">
        <f>'Lower Cascade Financial'!A71</f>
        <v>Total Project Cost</v>
      </c>
      <c r="B27" s="168">
        <f t="shared" ref="B27:X27" si="7">SUM(B6:B26)</f>
        <v>260483597.16</v>
      </c>
      <c r="C27" s="164">
        <f t="shared" si="7"/>
        <v>54125473</v>
      </c>
      <c r="D27" s="164">
        <f t="shared" si="7"/>
        <v>0</v>
      </c>
      <c r="E27" s="164">
        <f t="shared" si="7"/>
        <v>10317906.208000002</v>
      </c>
      <c r="F27" s="164">
        <f t="shared" si="7"/>
        <v>10317906.208000002</v>
      </c>
      <c r="G27" s="164">
        <f t="shared" si="7"/>
        <v>10317906.208000002</v>
      </c>
      <c r="H27" s="164">
        <f t="shared" si="7"/>
        <v>20635812.416000005</v>
      </c>
      <c r="I27" s="164">
        <f t="shared" si="7"/>
        <v>20635812.416000005</v>
      </c>
      <c r="J27" s="164">
        <f t="shared" si="7"/>
        <v>20635812.416000005</v>
      </c>
      <c r="K27" s="164">
        <f t="shared" si="7"/>
        <v>20635812.416000005</v>
      </c>
      <c r="L27" s="164">
        <f t="shared" si="7"/>
        <v>20635812.416000005</v>
      </c>
      <c r="M27" s="164">
        <f t="shared" si="7"/>
        <v>20635812.416000005</v>
      </c>
      <c r="N27" s="164">
        <f t="shared" si="7"/>
        <v>20635812.416000005</v>
      </c>
      <c r="O27" s="164">
        <f t="shared" si="7"/>
        <v>20635812.416000005</v>
      </c>
      <c r="P27" s="164">
        <f t="shared" si="7"/>
        <v>10317906.208000002</v>
      </c>
      <c r="Q27" s="164">
        <f t="shared" si="7"/>
        <v>0</v>
      </c>
      <c r="R27" s="164">
        <f t="shared" si="7"/>
        <v>0</v>
      </c>
      <c r="S27" s="164">
        <f t="shared" si="7"/>
        <v>0</v>
      </c>
      <c r="T27" s="164">
        <f t="shared" si="7"/>
        <v>0</v>
      </c>
      <c r="U27" s="164">
        <f t="shared" si="7"/>
        <v>0</v>
      </c>
      <c r="V27" s="164">
        <f t="shared" si="7"/>
        <v>0</v>
      </c>
      <c r="W27" s="164">
        <f t="shared" si="7"/>
        <v>0</v>
      </c>
      <c r="X27" s="164">
        <f t="shared" si="7"/>
        <v>0</v>
      </c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9"/>
      <c r="AS27" s="219"/>
      <c r="AT27" s="219"/>
      <c r="AU27" s="219"/>
      <c r="AV27" s="172">
        <f>SUM(AV6:AV26)</f>
        <v>260483597.16</v>
      </c>
      <c r="AW27" s="150">
        <f>SUM(AW6:AW26)</f>
        <v>260483597.16</v>
      </c>
      <c r="AX27" s="145"/>
      <c r="AY27"/>
      <c r="AZ27"/>
    </row>
    <row r="28" spans="1:52" ht="15.75" thickTop="1">
      <c r="A28" s="147" t="s">
        <v>261</v>
      </c>
      <c r="B28" s="210">
        <f>'Lower Cascade Financial'!B79</f>
        <v>-17208000</v>
      </c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70"/>
      <c r="AW28" s="420"/>
      <c r="AX28" s="145"/>
      <c r="AY28"/>
      <c r="AZ28"/>
    </row>
    <row r="29" spans="1:52" ht="15.75" thickBot="1">
      <c r="A29" s="401" t="s">
        <v>262</v>
      </c>
      <c r="B29" s="471">
        <f>B27+B28</f>
        <v>243275597.16</v>
      </c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2"/>
      <c r="AA29" s="412"/>
      <c r="AB29" s="412"/>
      <c r="AC29" s="412"/>
      <c r="AD29" s="412"/>
      <c r="AE29" s="412"/>
      <c r="AF29" s="412"/>
      <c r="AG29" s="412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4"/>
      <c r="AV29" s="414"/>
      <c r="AW29" s="414"/>
      <c r="AX29" s="403"/>
      <c r="AY29"/>
      <c r="AZ29"/>
    </row>
    <row r="30" spans="1:52" ht="15">
      <c r="A30" s="404" t="s">
        <v>263</v>
      </c>
      <c r="B30" s="405">
        <f>SUM(C30:AR30)</f>
        <v>105973312.78400001</v>
      </c>
      <c r="C30" s="387">
        <f>C27</f>
        <v>54125473</v>
      </c>
      <c r="D30" s="387">
        <f t="shared" ref="D30:X30" si="8">IF(C31+D27&lt;=$B$31,D27,($B$31-C31))</f>
        <v>0</v>
      </c>
      <c r="E30" s="387">
        <f t="shared" si="8"/>
        <v>10317906.208000002</v>
      </c>
      <c r="F30" s="387">
        <f t="shared" si="8"/>
        <v>10317906.208000002</v>
      </c>
      <c r="G30" s="387">
        <f t="shared" si="8"/>
        <v>10317906.208000002</v>
      </c>
      <c r="H30" s="387">
        <f t="shared" si="8"/>
        <v>20635812.416000005</v>
      </c>
      <c r="I30" s="387">
        <f t="shared" si="8"/>
        <v>258308.74399998784</v>
      </c>
      <c r="J30" s="387">
        <f t="shared" si="8"/>
        <v>0</v>
      </c>
      <c r="K30" s="387">
        <f t="shared" si="8"/>
        <v>0</v>
      </c>
      <c r="L30" s="387">
        <f t="shared" si="8"/>
        <v>0</v>
      </c>
      <c r="M30" s="387">
        <f t="shared" si="8"/>
        <v>0</v>
      </c>
      <c r="N30" s="387">
        <f t="shared" si="8"/>
        <v>0</v>
      </c>
      <c r="O30" s="387">
        <f t="shared" si="8"/>
        <v>0</v>
      </c>
      <c r="P30" s="387">
        <f t="shared" si="8"/>
        <v>0</v>
      </c>
      <c r="Q30" s="387">
        <f t="shared" si="8"/>
        <v>0</v>
      </c>
      <c r="R30" s="387">
        <f t="shared" si="8"/>
        <v>0</v>
      </c>
      <c r="S30" s="387">
        <f t="shared" si="8"/>
        <v>0</v>
      </c>
      <c r="T30" s="387">
        <f t="shared" si="8"/>
        <v>0</v>
      </c>
      <c r="U30" s="387">
        <f t="shared" si="8"/>
        <v>0</v>
      </c>
      <c r="V30" s="387">
        <f t="shared" si="8"/>
        <v>0</v>
      </c>
      <c r="W30" s="387">
        <f t="shared" si="8"/>
        <v>0</v>
      </c>
      <c r="X30" s="387">
        <f t="shared" si="8"/>
        <v>0</v>
      </c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406"/>
      <c r="AT30" s="406"/>
      <c r="AU30" s="406"/>
      <c r="AV30" s="406"/>
      <c r="AW30" s="406"/>
      <c r="AX30" s="406"/>
      <c r="AY30"/>
      <c r="AZ30"/>
    </row>
    <row r="31" spans="1:52" ht="15.75" thickBot="1">
      <c r="A31" s="384" t="s">
        <v>264</v>
      </c>
      <c r="B31" s="151">
        <f>'Lower Cascade Financial'!B82</f>
        <v>105973312.78400001</v>
      </c>
      <c r="C31" s="387">
        <f>C30</f>
        <v>54125473</v>
      </c>
      <c r="D31" s="387">
        <f>IF(SUM($C$30:D30)&lt;=$B31,SUM($C$30:D30),0)</f>
        <v>54125473</v>
      </c>
      <c r="E31" s="387">
        <f>IF(SUM($C$30:E30)&lt;=$B31,SUM($C$30:E30),0)</f>
        <v>64443379.208000004</v>
      </c>
      <c r="F31" s="387">
        <f>IF(SUM($C$30:F30)&lt;=$B31,SUM($C$30:F30),0)</f>
        <v>74761285.416000009</v>
      </c>
      <c r="G31" s="387">
        <f>IF(SUM($C$30:G30)&lt;=$B31,SUM($C$30:G30),0)</f>
        <v>85079191.624000013</v>
      </c>
      <c r="H31" s="387">
        <f>IF(SUM($C$30:H30)&lt;=$B31,SUM($C$30:H30),0)</f>
        <v>105715004.04000002</v>
      </c>
      <c r="I31" s="387">
        <f>IF(SUM($C$30:I30)&lt;=$B31,SUM($C$30:I30),0)</f>
        <v>105973312.78400001</v>
      </c>
      <c r="J31" s="387">
        <f>IF(SUM($C$30:J30)&lt;=$B31,SUM($C$30:J30),0)</f>
        <v>105973312.78400001</v>
      </c>
      <c r="K31" s="387">
        <f>IF(SUM($C$30:K30)&lt;=$B31,SUM($C$30:K30),0)</f>
        <v>105973312.78400001</v>
      </c>
      <c r="L31" s="387">
        <f>IF(SUM($C$30:L30)&lt;=$B31,SUM($C$30:L30),0)</f>
        <v>105973312.78400001</v>
      </c>
      <c r="M31" s="387">
        <f>IF(SUM($C$30:M30)&lt;=$B31,SUM($C$30:M30),0)</f>
        <v>105973312.78400001</v>
      </c>
      <c r="N31" s="387">
        <f>IF(SUM($C$30:N30)&lt;=$B31,SUM($C$30:N30),0)</f>
        <v>105973312.78400001</v>
      </c>
      <c r="O31" s="387">
        <f>IF(SUM($C$30:O30)&lt;=$B31,SUM($C$30:O30),0)</f>
        <v>105973312.78400001</v>
      </c>
      <c r="P31" s="387">
        <f>IF(SUM($C$30:P30)&lt;=$B31,SUM($C$30:P30),0)</f>
        <v>105973312.78400001</v>
      </c>
      <c r="Q31" s="387">
        <f>IF(SUM($C$30:Q30)&lt;=$B31,SUM($C$30:Q30),0)</f>
        <v>105973312.78400001</v>
      </c>
      <c r="R31" s="387">
        <f>IF(SUM($C$30:R30)&lt;=$B31,SUM($C$30:R30),0)</f>
        <v>105973312.78400001</v>
      </c>
      <c r="S31" s="387">
        <f>IF(SUM($C$30:S30)&lt;=$B31,SUM($C$30:S30),0)</f>
        <v>105973312.78400001</v>
      </c>
      <c r="T31" s="387">
        <f>IF(SUM($C$30:T30)&lt;=$B31,SUM($C$30:T30),0)</f>
        <v>105973312.78400001</v>
      </c>
      <c r="U31" s="387">
        <f>IF(SUM($C$30:U30)&lt;=$B31,SUM($C$30:U30),0)</f>
        <v>105973312.78400001</v>
      </c>
      <c r="V31" s="387">
        <f>IF(SUM($C$30:V30)&lt;=$B31,SUM($C$30:V30),0)</f>
        <v>105973312.78400001</v>
      </c>
      <c r="W31" s="387">
        <f>IF(SUM($C$30:W30)&lt;=$B31,SUM($C$30:W30),0)</f>
        <v>105973312.78400001</v>
      </c>
      <c r="X31" s="421">
        <f>IF(SUM($C$30:X30)&lt;=$B31,SUM($C$30:X30),0)</f>
        <v>105973312.78400001</v>
      </c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406"/>
      <c r="AT31" s="406"/>
      <c r="AU31" s="406"/>
      <c r="AV31" s="406"/>
      <c r="AW31" s="406"/>
      <c r="AX31" s="406"/>
      <c r="AY31"/>
      <c r="AZ31"/>
    </row>
    <row r="32" spans="1:52" ht="15">
      <c r="A32" s="152" t="s">
        <v>265</v>
      </c>
      <c r="B32" s="153">
        <f>'Lower Cascade Financial'!B81</f>
        <v>158959969.176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7"/>
      <c r="AT32" s="407"/>
      <c r="AU32" s="407"/>
      <c r="AV32" s="407"/>
      <c r="AW32" s="407"/>
      <c r="AX32" s="406"/>
      <c r="AY32"/>
      <c r="AZ32"/>
    </row>
    <row r="33" spans="1:52" ht="15.75" thickBot="1">
      <c r="A33" s="409" t="s">
        <v>266</v>
      </c>
      <c r="B33" s="410">
        <f>PMT(0.045,30,(B32))</f>
        <v>-9758797.7684170473</v>
      </c>
      <c r="C33" s="407"/>
      <c r="D33" s="408"/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8"/>
      <c r="AH33" s="408"/>
      <c r="AI33" s="408"/>
      <c r="AJ33" s="408"/>
      <c r="AK33" s="408"/>
      <c r="AL33" s="408"/>
      <c r="AM33" s="408"/>
      <c r="AN33" s="408"/>
      <c r="AO33" s="408"/>
      <c r="AP33" s="408"/>
      <c r="AQ33" s="408"/>
      <c r="AR33" s="408"/>
      <c r="AS33" s="407"/>
      <c r="AT33" s="407"/>
      <c r="AU33" s="407"/>
      <c r="AV33" s="407"/>
      <c r="AW33" s="407"/>
      <c r="AX33" s="406"/>
      <c r="AY33"/>
      <c r="AZ33"/>
    </row>
    <row r="34" spans="1:52" ht="15">
      <c r="A34" s="154" t="s">
        <v>267</v>
      </c>
      <c r="B34" s="155">
        <f>SUM(C34:AV34)</f>
        <v>0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412"/>
      <c r="AW34" s="407"/>
      <c r="AX34" s="406"/>
      <c r="AY34"/>
      <c r="AZ34"/>
    </row>
    <row r="35" spans="1:52" ht="15">
      <c r="A35" s="1317" t="s">
        <v>268</v>
      </c>
      <c r="B35" s="1318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87"/>
      <c r="AT35" s="87"/>
      <c r="AU35" s="87"/>
      <c r="AV35" s="412"/>
      <c r="AW35" s="408"/>
      <c r="AX35" s="406"/>
      <c r="AY35"/>
      <c r="AZ35"/>
    </row>
    <row r="36" spans="1:52" ht="15">
      <c r="A36" s="404" t="s">
        <v>269</v>
      </c>
      <c r="B36" s="405">
        <f>'Lower Cascade Financial'!B89+'Lower Cascade Financial'!B90</f>
        <v>156641930.824</v>
      </c>
      <c r="C36" s="412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3"/>
      <c r="Z36" s="413"/>
      <c r="AA36" s="413"/>
      <c r="AB36" s="413"/>
      <c r="AC36" s="413"/>
      <c r="AD36" s="413"/>
      <c r="AE36" s="413"/>
      <c r="AF36" s="413"/>
      <c r="AG36" s="472"/>
      <c r="AH36" s="413"/>
      <c r="AI36" s="413"/>
      <c r="AJ36" s="413"/>
      <c r="AK36" s="413"/>
      <c r="AL36" s="413"/>
      <c r="AM36" s="413"/>
      <c r="AN36" s="413"/>
      <c r="AO36" s="413"/>
      <c r="AP36" s="413"/>
      <c r="AQ36" s="413"/>
      <c r="AR36" s="413"/>
      <c r="AS36" s="220"/>
      <c r="AT36" s="220"/>
      <c r="AU36" s="220"/>
      <c r="AV36" s="414"/>
      <c r="AW36" s="415"/>
      <c r="AX36" s="416"/>
      <c r="AY36"/>
      <c r="AZ36"/>
    </row>
    <row r="37" spans="1:52" ht="15">
      <c r="A37" s="404" t="s">
        <v>286</v>
      </c>
      <c r="B37" s="233">
        <f>SUM(C37:R37)</f>
        <v>50668618.039999992</v>
      </c>
      <c r="C37" s="417">
        <f t="shared" ref="C37:W37" si="9">-C30</f>
        <v>-54125473</v>
      </c>
      <c r="D37" s="417">
        <f t="shared" si="9"/>
        <v>0</v>
      </c>
      <c r="E37" s="417">
        <f t="shared" si="9"/>
        <v>-10317906.208000002</v>
      </c>
      <c r="F37" s="417">
        <f t="shared" si="9"/>
        <v>-10317906.208000002</v>
      </c>
      <c r="G37" s="417">
        <f t="shared" si="9"/>
        <v>-10317906.208000002</v>
      </c>
      <c r="H37" s="417">
        <f t="shared" si="9"/>
        <v>-20635812.416000005</v>
      </c>
      <c r="I37" s="417">
        <f t="shared" si="9"/>
        <v>-258308.74399998784</v>
      </c>
      <c r="J37" s="417">
        <f t="shared" si="9"/>
        <v>0</v>
      </c>
      <c r="K37" s="417">
        <f t="shared" si="9"/>
        <v>0</v>
      </c>
      <c r="L37" s="417">
        <f t="shared" si="9"/>
        <v>0</v>
      </c>
      <c r="M37" s="417">
        <f t="shared" si="9"/>
        <v>0</v>
      </c>
      <c r="N37" s="417">
        <f t="shared" si="9"/>
        <v>0</v>
      </c>
      <c r="O37" s="417">
        <f t="shared" si="9"/>
        <v>0</v>
      </c>
      <c r="P37" s="417">
        <f t="shared" si="9"/>
        <v>0</v>
      </c>
      <c r="Q37" s="417">
        <f t="shared" si="9"/>
        <v>0</v>
      </c>
      <c r="R37" s="418">
        <f>B36</f>
        <v>156641930.824</v>
      </c>
      <c r="S37" s="417">
        <f t="shared" si="9"/>
        <v>0</v>
      </c>
      <c r="T37" s="417">
        <f t="shared" si="9"/>
        <v>0</v>
      </c>
      <c r="U37" s="417">
        <f t="shared" si="9"/>
        <v>0</v>
      </c>
      <c r="V37" s="417">
        <f t="shared" si="9"/>
        <v>0</v>
      </c>
      <c r="W37" s="417">
        <f t="shared" si="9"/>
        <v>0</v>
      </c>
      <c r="X37" s="418">
        <f>B36</f>
        <v>156641930.824</v>
      </c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417"/>
      <c r="AJ37" s="417"/>
      <c r="AK37" s="157"/>
      <c r="AL37" s="158"/>
      <c r="AM37" s="158"/>
      <c r="AN37" s="158"/>
      <c r="AO37" s="158"/>
      <c r="AP37" s="158"/>
      <c r="AQ37" s="158"/>
      <c r="AR37" s="158"/>
      <c r="AS37" s="221"/>
      <c r="AT37" s="221"/>
      <c r="AU37" s="221"/>
      <c r="AV37" s="160"/>
      <c r="AW37" s="417"/>
      <c r="AX37" s="387"/>
      <c r="AY37"/>
      <c r="AZ37"/>
    </row>
    <row r="38" spans="1:52" ht="15">
      <c r="A38" s="404" t="s">
        <v>271</v>
      </c>
      <c r="B38" s="231">
        <f>IF(B37&lt;0,0,IRR(C37:R37))</f>
        <v>3.0050054840204066E-2</v>
      </c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20"/>
      <c r="AN38" s="420"/>
      <c r="AO38" s="420"/>
      <c r="AP38" s="420"/>
      <c r="AQ38" s="420"/>
      <c r="AR38" s="420"/>
      <c r="AS38" s="420"/>
      <c r="AT38" s="420"/>
      <c r="AU38" s="420"/>
      <c r="AV38" s="414"/>
      <c r="AW38" s="420"/>
      <c r="AX38" s="421"/>
      <c r="AY38"/>
      <c r="AZ38"/>
    </row>
    <row r="39" spans="1:52" ht="15">
      <c r="A39" s="394" t="s">
        <v>272</v>
      </c>
      <c r="B39" s="232">
        <f>POWER((1+B38),4)-1</f>
        <v>0.1257276110504304</v>
      </c>
      <c r="C39" s="414"/>
      <c r="D39" s="414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4"/>
      <c r="Q39" s="423"/>
      <c r="R39" s="423"/>
      <c r="S39" s="423"/>
      <c r="T39" s="423"/>
      <c r="U39" s="423"/>
      <c r="V39" s="424"/>
      <c r="W39" s="423"/>
      <c r="X39" s="423"/>
      <c r="Y39" s="423"/>
      <c r="Z39" s="423"/>
      <c r="AA39" s="423"/>
      <c r="AB39" s="423"/>
      <c r="AC39" s="423"/>
      <c r="AD39" s="423"/>
      <c r="AE39" s="423"/>
      <c r="AF39" s="423"/>
      <c r="AG39" s="423"/>
      <c r="AH39" s="423"/>
      <c r="AI39" s="423"/>
      <c r="AJ39" s="423"/>
      <c r="AK39" s="423"/>
      <c r="AL39" s="423"/>
      <c r="AM39" s="423"/>
      <c r="AN39" s="423"/>
      <c r="AO39" s="423"/>
      <c r="AP39" s="423"/>
      <c r="AQ39" s="423"/>
      <c r="AR39" s="473"/>
      <c r="AS39" s="473"/>
      <c r="AT39" s="473"/>
      <c r="AU39" s="473"/>
      <c r="AV39" s="423"/>
      <c r="AW39" s="423"/>
      <c r="AX39" s="425"/>
      <c r="AY39"/>
      <c r="AZ39"/>
    </row>
    <row r="40" spans="1:52">
      <c r="A40" s="1302" t="s">
        <v>273</v>
      </c>
      <c r="B40" s="1317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394"/>
    </row>
    <row r="41" spans="1:52">
      <c r="A41" s="404" t="s">
        <v>274</v>
      </c>
      <c r="B41" s="475">
        <f>'Lower Cascade Financial'!B89+'Lower Cascade Financial'!B75</f>
        <v>298393900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08"/>
      <c r="N41" s="414"/>
      <c r="O41" s="414"/>
      <c r="P41" s="414"/>
      <c r="Q41" s="414"/>
      <c r="R41" s="414"/>
      <c r="S41" s="408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394"/>
    </row>
    <row r="42" spans="1:52">
      <c r="A42" s="404" t="s">
        <v>275</v>
      </c>
      <c r="B42" s="233">
        <f>SUM(C42:R42)</f>
        <v>37910302.839999914</v>
      </c>
      <c r="C42" s="387">
        <f>-C27</f>
        <v>-54125473</v>
      </c>
      <c r="D42" s="387">
        <f t="shared" ref="D42:W42" si="10">-D27</f>
        <v>0</v>
      </c>
      <c r="E42" s="387">
        <f t="shared" si="10"/>
        <v>-10317906.208000002</v>
      </c>
      <c r="F42" s="387">
        <f t="shared" si="10"/>
        <v>-10317906.208000002</v>
      </c>
      <c r="G42" s="387">
        <f t="shared" si="10"/>
        <v>-10317906.208000002</v>
      </c>
      <c r="H42" s="387">
        <f t="shared" si="10"/>
        <v>-20635812.416000005</v>
      </c>
      <c r="I42" s="387">
        <f t="shared" si="10"/>
        <v>-20635812.416000005</v>
      </c>
      <c r="J42" s="387">
        <f t="shared" si="10"/>
        <v>-20635812.416000005</v>
      </c>
      <c r="K42" s="387">
        <f t="shared" si="10"/>
        <v>-20635812.416000005</v>
      </c>
      <c r="L42" s="387">
        <f t="shared" si="10"/>
        <v>-20635812.416000005</v>
      </c>
      <c r="M42" s="387">
        <f t="shared" si="10"/>
        <v>-20635812.416000005</v>
      </c>
      <c r="N42" s="387">
        <f t="shared" si="10"/>
        <v>-20635812.416000005</v>
      </c>
      <c r="O42" s="387">
        <f t="shared" si="10"/>
        <v>-20635812.416000005</v>
      </c>
      <c r="P42" s="387">
        <f t="shared" si="10"/>
        <v>-10317906.208000002</v>
      </c>
      <c r="Q42" s="387">
        <f t="shared" si="10"/>
        <v>0</v>
      </c>
      <c r="R42" s="421">
        <f>B41</f>
        <v>298393900</v>
      </c>
      <c r="S42" s="387">
        <f t="shared" si="10"/>
        <v>0</v>
      </c>
      <c r="T42" s="387">
        <f t="shared" si="10"/>
        <v>0</v>
      </c>
      <c r="U42" s="387">
        <f t="shared" si="10"/>
        <v>0</v>
      </c>
      <c r="V42" s="387">
        <f t="shared" si="10"/>
        <v>0</v>
      </c>
      <c r="W42" s="387">
        <f t="shared" si="10"/>
        <v>0</v>
      </c>
      <c r="X42" s="421">
        <f>-X27+B41</f>
        <v>298393900</v>
      </c>
      <c r="Y42" s="387">
        <f t="shared" ref="Y42:AR42" si="11">IF(Y31&gt;=$B$31,-(Y27+Y37),Y37)</f>
        <v>0</v>
      </c>
      <c r="Z42" s="387">
        <f t="shared" si="11"/>
        <v>0</v>
      </c>
      <c r="AA42" s="387">
        <f t="shared" si="11"/>
        <v>0</v>
      </c>
      <c r="AB42" s="387">
        <f t="shared" si="11"/>
        <v>0</v>
      </c>
      <c r="AC42" s="387">
        <f t="shared" si="11"/>
        <v>0</v>
      </c>
      <c r="AD42" s="387">
        <f t="shared" si="11"/>
        <v>0</v>
      </c>
      <c r="AE42" s="387">
        <f t="shared" si="11"/>
        <v>0</v>
      </c>
      <c r="AF42" s="387">
        <f t="shared" si="11"/>
        <v>0</v>
      </c>
      <c r="AG42" s="387">
        <f t="shared" si="11"/>
        <v>0</v>
      </c>
      <c r="AH42" s="387">
        <f t="shared" si="11"/>
        <v>0</v>
      </c>
      <c r="AI42" s="387">
        <f t="shared" si="11"/>
        <v>0</v>
      </c>
      <c r="AJ42" s="387">
        <f t="shared" si="11"/>
        <v>0</v>
      </c>
      <c r="AK42" s="387">
        <f t="shared" si="11"/>
        <v>0</v>
      </c>
      <c r="AL42" s="387">
        <f t="shared" si="11"/>
        <v>0</v>
      </c>
      <c r="AM42" s="387">
        <f t="shared" si="11"/>
        <v>0</v>
      </c>
      <c r="AN42" s="387">
        <f t="shared" si="11"/>
        <v>0</v>
      </c>
      <c r="AO42" s="387">
        <f t="shared" si="11"/>
        <v>0</v>
      </c>
      <c r="AP42" s="387">
        <f t="shared" si="11"/>
        <v>0</v>
      </c>
      <c r="AQ42" s="387">
        <f t="shared" si="11"/>
        <v>0</v>
      </c>
      <c r="AR42" s="387">
        <f t="shared" si="11"/>
        <v>0</v>
      </c>
      <c r="AS42" s="387"/>
      <c r="AT42" s="387"/>
      <c r="AU42" s="387"/>
      <c r="AV42" s="476"/>
      <c r="AW42" s="394"/>
      <c r="AX42" s="394"/>
    </row>
    <row r="43" spans="1:52">
      <c r="A43" s="404" t="s">
        <v>276</v>
      </c>
      <c r="B43" s="231">
        <f>IF(B42&lt;0,0,IRR(C42:R42))</f>
        <v>1.5422055316411054E-2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14"/>
      <c r="AW43" s="414"/>
      <c r="AX43" s="394"/>
    </row>
    <row r="44" spans="1:52">
      <c r="A44" s="394" t="s">
        <v>277</v>
      </c>
      <c r="B44" s="422">
        <f>POWER((1+B43),4)-1</f>
        <v>6.3129988488107358E-2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4"/>
      <c r="AI44" s="414"/>
      <c r="AJ44" s="414"/>
      <c r="AK44" s="414"/>
      <c r="AL44" s="414"/>
      <c r="AM44" s="414"/>
      <c r="AN44" s="414"/>
      <c r="AO44" s="414"/>
      <c r="AP44" s="414"/>
      <c r="AQ44" s="414"/>
      <c r="AR44" s="414"/>
      <c r="AS44" s="414"/>
      <c r="AT44" s="414"/>
      <c r="AU44" s="414"/>
      <c r="AV44" s="414"/>
      <c r="AW44" s="414"/>
      <c r="AX44" s="394"/>
    </row>
    <row r="45" spans="1:52">
      <c r="G45" s="21"/>
      <c r="AB45" s="21"/>
      <c r="AE45" s="21"/>
      <c r="AI45" s="21"/>
    </row>
    <row r="46" spans="1:52">
      <c r="G46" s="21"/>
      <c r="AB46" s="21"/>
      <c r="AE46" s="21"/>
      <c r="AI46" s="21"/>
    </row>
    <row r="47" spans="1:52">
      <c r="G47" s="21"/>
      <c r="AB47" s="21"/>
      <c r="AE47" s="21"/>
      <c r="AI47" s="21"/>
    </row>
    <row r="48" spans="1:52">
      <c r="G48" s="21"/>
      <c r="AB48" s="21"/>
      <c r="AE48" s="21"/>
      <c r="AI48" s="21"/>
    </row>
    <row r="49" spans="7:35">
      <c r="G49" s="21"/>
      <c r="AB49" s="21"/>
      <c r="AE49" s="21"/>
      <c r="AI49" s="21"/>
    </row>
    <row r="50" spans="7:35">
      <c r="G50" s="21"/>
      <c r="AB50" s="21"/>
      <c r="AE50" s="21"/>
      <c r="AI50" s="21"/>
    </row>
    <row r="51" spans="7:35">
      <c r="G51" s="21"/>
      <c r="AB51" s="21"/>
      <c r="AE51" s="21"/>
      <c r="AI51" s="21"/>
    </row>
    <row r="52" spans="7:35">
      <c r="G52" s="21"/>
    </row>
    <row r="53" spans="7:35">
      <c r="G53" s="21"/>
    </row>
    <row r="54" spans="7:35">
      <c r="G54" s="21"/>
    </row>
    <row r="55" spans="7:35">
      <c r="G55" s="21"/>
    </row>
    <row r="56" spans="7:35">
      <c r="G56" s="21"/>
    </row>
    <row r="57" spans="7:35">
      <c r="G57" s="21"/>
    </row>
    <row r="58" spans="7:35">
      <c r="G58" s="21"/>
    </row>
    <row r="59" spans="7:35">
      <c r="G59" s="21"/>
    </row>
    <row r="60" spans="7:35">
      <c r="G60" s="21"/>
    </row>
    <row r="61" spans="7:35">
      <c r="G61" s="21"/>
    </row>
    <row r="62" spans="7:35">
      <c r="G62" s="21"/>
    </row>
    <row r="63" spans="7:35">
      <c r="G63" s="21"/>
    </row>
    <row r="64" spans="7:35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</sheetData>
  <mergeCells count="4">
    <mergeCell ref="A1:A4"/>
    <mergeCell ref="A35:B35"/>
    <mergeCell ref="A40:B40"/>
    <mergeCell ref="AS2:AU2"/>
  </mergeCells>
  <conditionalFormatting sqref="D4:AU4">
    <cfRule type="cellIs" dxfId="83" priority="1" operator="equal">
      <formula>#REF!</formula>
    </cfRule>
    <cfRule type="cellIs" dxfId="82" priority="2" operator="equal">
      <formula>#REF!</formula>
    </cfRule>
    <cfRule type="cellIs" dxfId="81" priority="3" operator="equal">
      <formula>#REF!</formula>
    </cfRule>
    <cfRule type="cellIs" dxfId="80" priority="4" operator="equal">
      <formula>#REF!</formula>
    </cfRule>
  </conditionalFormatting>
  <conditionalFormatting sqref="Y5:AC5">
    <cfRule type="cellIs" dxfId="79" priority="5" operator="equal">
      <formula>#REF!</formula>
    </cfRule>
    <cfRule type="cellIs" dxfId="78" priority="6" operator="equal">
      <formula>#REF!</formula>
    </cfRule>
    <cfRule type="cellIs" dxfId="77" priority="7" operator="equal">
      <formula>#REF!</formula>
    </cfRule>
    <cfRule type="cellIs" dxfId="76" priority="8" operator="equal">
      <formula>#REF!</formula>
    </cfRule>
  </conditionalFormatting>
  <conditionalFormatting sqref="Y5:AU5">
    <cfRule type="cellIs" dxfId="75" priority="9" operator="equal">
      <formula>#REF!</formula>
    </cfRule>
    <cfRule type="cellIs" dxfId="74" priority="10" operator="equal">
      <formula>#REF!</formula>
    </cfRule>
    <cfRule type="cellIs" dxfId="73" priority="11" operator="equal">
      <formula>#REF!</formula>
    </cfRule>
    <cfRule type="cellIs" dxfId="72" priority="12" operator="equal">
      <formula>#REF!</formula>
    </cfRule>
  </conditionalFormatting>
  <conditionalFormatting sqref="AV4:AX4">
    <cfRule type="cellIs" dxfId="71" priority="13" operator="equal">
      <formula>#REF!</formula>
    </cfRule>
    <cfRule type="cellIs" dxfId="70" priority="14" operator="equal">
      <formula>#REF!</formula>
    </cfRule>
    <cfRule type="cellIs" dxfId="69" priority="15" operator="equal">
      <formula>#REF!</formula>
    </cfRule>
    <cfRule type="cellIs" dxfId="68" priority="16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  <ignoredErrors>
    <ignoredError sqref="C1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D294-7B10-40C8-B79C-51837EAB7369}">
  <sheetPr>
    <tabColor theme="6" tint="-0.249977111117893"/>
    <pageSetUpPr fitToPage="1"/>
  </sheetPr>
  <dimension ref="A1:L98"/>
  <sheetViews>
    <sheetView showGridLines="0" zoomScaleNormal="100" zoomScaleSheetLayoutView="90" workbookViewId="0">
      <selection activeCell="F4" sqref="F4:F5"/>
    </sheetView>
  </sheetViews>
  <sheetFormatPr defaultColWidth="8.85546875" defaultRowHeight="23.25" customHeight="1"/>
  <cols>
    <col min="1" max="1" width="36.5703125" style="21" bestFit="1" customWidth="1"/>
    <col min="2" max="2" width="25" style="21" customWidth="1"/>
    <col min="3" max="3" width="22.42578125" style="21" bestFit="1" customWidth="1"/>
    <col min="4" max="4" width="19.5703125" style="21" customWidth="1"/>
    <col min="5" max="5" width="18.140625" style="21" bestFit="1" customWidth="1"/>
    <col min="6" max="6" width="31.5703125" style="21" customWidth="1"/>
    <col min="7" max="7" width="21.28515625" style="21" customWidth="1"/>
    <col min="8" max="8" width="24.5703125" style="21" customWidth="1"/>
    <col min="9" max="9" width="32.42578125" style="21" customWidth="1"/>
    <col min="10" max="10" width="20.140625" style="21" customWidth="1"/>
    <col min="11" max="14" width="8.85546875" style="21"/>
    <col min="15" max="15" width="20.140625" style="21" customWidth="1"/>
    <col min="16" max="16384" width="8.85546875" style="21"/>
  </cols>
  <sheetData>
    <row r="1" spans="1:12" ht="23.25" customHeight="1" thickBot="1">
      <c r="A1" s="17"/>
      <c r="B1" s="18"/>
      <c r="C1" s="19"/>
      <c r="D1" s="20"/>
    </row>
    <row r="2" spans="1:12" ht="23.25" customHeight="1" thickBot="1">
      <c r="A2" s="1255" t="s">
        <v>168</v>
      </c>
      <c r="B2" s="1256"/>
      <c r="C2" s="1256"/>
      <c r="D2" s="1260" t="str">
        <f>'Development Program'!B9</f>
        <v>Chinook Condos</v>
      </c>
      <c r="E2" s="1261"/>
    </row>
    <row r="3" spans="1:12" ht="24" customHeight="1">
      <c r="A3" s="1043" t="s">
        <v>461</v>
      </c>
      <c r="B3" s="1006" t="s">
        <v>171</v>
      </c>
      <c r="C3" s="1006" t="s">
        <v>288</v>
      </c>
      <c r="D3" s="1006" t="s">
        <v>289</v>
      </c>
      <c r="E3" s="1007" t="s">
        <v>290</v>
      </c>
      <c r="F3" s="883"/>
      <c r="G3" s="643"/>
      <c r="H3" s="643"/>
      <c r="I3" s="884"/>
      <c r="J3" s="884"/>
      <c r="K3" s="884"/>
      <c r="L3" s="884"/>
    </row>
    <row r="4" spans="1:12" ht="12.75">
      <c r="A4" s="1079">
        <f>B4/B7</f>
        <v>0.85567010309278346</v>
      </c>
      <c r="B4" s="280">
        <v>166</v>
      </c>
      <c r="C4" s="280">
        <v>980</v>
      </c>
      <c r="D4" s="477">
        <v>980</v>
      </c>
      <c r="E4" s="858">
        <f t="shared" ref="E4:E5" si="0">B4*C4*D4</f>
        <v>159426400</v>
      </c>
      <c r="F4" s="885">
        <f>D4*C4</f>
        <v>960400</v>
      </c>
      <c r="J4" s="880"/>
      <c r="K4" s="881"/>
      <c r="L4" s="882"/>
    </row>
    <row r="5" spans="1:12" ht="12.75">
      <c r="A5" s="1080">
        <f>B5/B7</f>
        <v>0.14432989690721648</v>
      </c>
      <c r="B5" s="280">
        <v>28</v>
      </c>
      <c r="C5" s="280">
        <v>1200</v>
      </c>
      <c r="D5" s="477">
        <v>1050</v>
      </c>
      <c r="E5" s="858">
        <f t="shared" si="0"/>
        <v>35280000</v>
      </c>
      <c r="F5" s="885">
        <f>D5*C5</f>
        <v>1260000</v>
      </c>
      <c r="J5" s="880"/>
      <c r="K5" s="881"/>
      <c r="L5" s="882"/>
    </row>
    <row r="6" spans="1:12" ht="13.5" thickBot="1">
      <c r="A6" s="284"/>
      <c r="B6" s="281"/>
      <c r="C6" s="281"/>
      <c r="D6" s="286"/>
      <c r="E6" s="859"/>
      <c r="F6" s="90"/>
      <c r="G6" s="205"/>
      <c r="H6" s="205"/>
      <c r="I6" s="205"/>
      <c r="J6" s="880"/>
      <c r="K6" s="886"/>
      <c r="L6" s="887"/>
    </row>
    <row r="7" spans="1:12" ht="14.25" thickTop="1" thickBot="1">
      <c r="A7" s="27" t="s">
        <v>176</v>
      </c>
      <c r="B7" s="28">
        <f>B4+B5</f>
        <v>194</v>
      </c>
      <c r="C7" s="29">
        <f>B4*C4 +B5*C5</f>
        <v>196280</v>
      </c>
      <c r="D7" s="1002"/>
      <c r="E7" s="860">
        <f>SUM(E4:E6)</f>
        <v>194706400</v>
      </c>
    </row>
    <row r="8" spans="1:12" ht="14.25" thickTop="1" thickBot="1">
      <c r="A8" s="31" t="s">
        <v>177</v>
      </c>
      <c r="B8" s="965"/>
      <c r="C8" s="33">
        <f>(C4*B4 + C5*B5 ) /B7</f>
        <v>1011.7525773195877</v>
      </c>
      <c r="D8" s="765">
        <f>E7/C7</f>
        <v>991.98288159771755</v>
      </c>
      <c r="E8" s="964"/>
    </row>
    <row r="9" spans="1:12" ht="12.75"/>
    <row r="10" spans="1:12" ht="12.75">
      <c r="A10" s="24" t="s">
        <v>178</v>
      </c>
      <c r="B10" s="25" t="s">
        <v>179</v>
      </c>
      <c r="C10" s="25" t="s">
        <v>180</v>
      </c>
      <c r="D10" s="25" t="s">
        <v>174</v>
      </c>
    </row>
    <row r="11" spans="1:12" ht="13.5" thickBot="1">
      <c r="A11" s="292" t="s">
        <v>4</v>
      </c>
      <c r="B11" s="293">
        <v>122900</v>
      </c>
      <c r="C11" s="1081">
        <f>Assumptions!I6</f>
        <v>40</v>
      </c>
      <c r="D11" s="295">
        <f>B11*C11</f>
        <v>4916000</v>
      </c>
    </row>
    <row r="12" spans="1:12" ht="14.25" thickTop="1" thickBot="1">
      <c r="A12" s="40" t="s">
        <v>181</v>
      </c>
      <c r="B12" s="560">
        <f>SUM(B11:B11)</f>
        <v>122900</v>
      </c>
      <c r="C12" s="42">
        <f>IF(B12=0,0,D12/B12)</f>
        <v>40</v>
      </c>
      <c r="D12" s="43">
        <f>SUM(D11:D11)</f>
        <v>4916000</v>
      </c>
      <c r="E12" s="44"/>
    </row>
    <row r="13" spans="1:12" ht="12.75">
      <c r="A13" s="748" t="s">
        <v>182</v>
      </c>
      <c r="B13" s="749"/>
      <c r="F13" s="735"/>
    </row>
    <row r="14" spans="1:12" ht="12.75">
      <c r="A14" s="256" t="s">
        <v>183</v>
      </c>
      <c r="B14" s="499">
        <f>B7</f>
        <v>194</v>
      </c>
      <c r="C14" s="45" t="s">
        <v>462</v>
      </c>
      <c r="D14" s="46"/>
    </row>
    <row r="15" spans="1:12" ht="13.5" thickBot="1">
      <c r="A15" s="263" t="s">
        <v>184</v>
      </c>
      <c r="B15" s="499">
        <f>B12/1000</f>
        <v>122.9</v>
      </c>
      <c r="C15" s="45"/>
      <c r="D15" s="46"/>
    </row>
    <row r="16" spans="1:12" ht="14.25" thickTop="1" thickBot="1">
      <c r="A16" s="47" t="s">
        <v>185</v>
      </c>
      <c r="B16" s="48">
        <f>SUM(B14:B15)</f>
        <v>316.89999999999998</v>
      </c>
      <c r="C16" s="45"/>
      <c r="D16" s="46"/>
    </row>
    <row r="17" spans="1:5" ht="13.5" thickBot="1">
      <c r="A17" s="766" t="s">
        <v>463</v>
      </c>
      <c r="B17" s="767">
        <f>B16-95</f>
        <v>221.89999999999998</v>
      </c>
      <c r="C17" s="45"/>
      <c r="D17" s="46"/>
    </row>
    <row r="18" spans="1:5" ht="12.75">
      <c r="A18" s="748" t="s">
        <v>186</v>
      </c>
      <c r="B18" s="768">
        <f>D1</f>
        <v>0</v>
      </c>
      <c r="C18" s="49"/>
      <c r="D18" s="49"/>
      <c r="E18" s="49"/>
    </row>
    <row r="19" spans="1:5" ht="12.75">
      <c r="A19" s="301" t="s">
        <v>187</v>
      </c>
      <c r="B19" s="302">
        <v>28320</v>
      </c>
      <c r="C19" s="50"/>
      <c r="D19" s="51"/>
      <c r="E19" s="49"/>
    </row>
    <row r="20" spans="1:5" ht="12.75">
      <c r="A20" s="301" t="s">
        <v>188</v>
      </c>
      <c r="B20" s="302">
        <f>B12+C7</f>
        <v>319180</v>
      </c>
      <c r="C20" s="50"/>
      <c r="D20" s="51"/>
      <c r="E20" s="49"/>
    </row>
    <row r="21" spans="1:5" ht="12.75">
      <c r="A21" s="303">
        <v>400</v>
      </c>
      <c r="B21" s="302">
        <f>A21*B17</f>
        <v>88759.999999999985</v>
      </c>
      <c r="C21" s="50"/>
      <c r="D21" s="51"/>
      <c r="E21" s="49"/>
    </row>
    <row r="22" spans="1:5" ht="12.75">
      <c r="A22" s="431">
        <v>0.15</v>
      </c>
      <c r="B22" s="302">
        <f>(1+A22)*(B20+B21)</f>
        <v>469130.99999999994</v>
      </c>
      <c r="C22" s="50"/>
      <c r="D22" s="51"/>
      <c r="E22" s="49"/>
    </row>
    <row r="23" spans="1:5" ht="13.5" thickBot="1">
      <c r="A23" s="432">
        <f>6</f>
        <v>6</v>
      </c>
      <c r="B23" s="306">
        <f>B22/A23</f>
        <v>78188.499999999985</v>
      </c>
      <c r="C23" s="50"/>
      <c r="D23" s="51"/>
      <c r="E23" s="49"/>
    </row>
    <row r="24" spans="1:5" ht="13.5" thickBot="1">
      <c r="A24" s="1338" t="s">
        <v>294</v>
      </c>
      <c r="B24" s="1339"/>
      <c r="C24" s="1339"/>
      <c r="D24" s="1335"/>
      <c r="E24" s="49"/>
    </row>
    <row r="25" spans="1:5" ht="13.5" thickBot="1">
      <c r="A25" s="1082" t="s">
        <v>190</v>
      </c>
      <c r="B25" s="1083" t="s">
        <v>191</v>
      </c>
      <c r="C25" s="1083" t="s">
        <v>192</v>
      </c>
      <c r="D25" s="1084" t="s">
        <v>295</v>
      </c>
      <c r="E25" s="49"/>
    </row>
    <row r="26" spans="1:5" ht="12.75">
      <c r="A26" s="1085" t="s">
        <v>235</v>
      </c>
      <c r="B26" s="311">
        <f>D26/B7</f>
        <v>1028981.4432989691</v>
      </c>
      <c r="C26" s="481">
        <f>D26/C7</f>
        <v>1017.0287344609741</v>
      </c>
      <c r="D26" s="52">
        <f>E7+D11</f>
        <v>199622400</v>
      </c>
      <c r="E26" s="49"/>
    </row>
    <row r="27" spans="1:5" ht="13.5" thickBot="1">
      <c r="A27" s="482">
        <v>0.04</v>
      </c>
      <c r="B27" s="1262"/>
      <c r="C27" s="1340"/>
      <c r="D27" s="1020">
        <f>-0.04*D26</f>
        <v>-7984896</v>
      </c>
      <c r="E27" s="49"/>
    </row>
    <row r="28" spans="1:5" ht="14.25" thickTop="1" thickBot="1">
      <c r="A28" s="1270" t="s">
        <v>236</v>
      </c>
      <c r="B28" s="1271"/>
      <c r="C28" s="1272"/>
      <c r="D28" s="1086">
        <f>D26+D27</f>
        <v>191637504</v>
      </c>
      <c r="E28" s="49"/>
    </row>
    <row r="29" spans="1:5" ht="15" customHeight="1" thickBot="1">
      <c r="A29" s="1336" t="s">
        <v>189</v>
      </c>
      <c r="B29" s="1337"/>
      <c r="C29" s="1334" t="str">
        <f>D2</f>
        <v>Chinook Condos</v>
      </c>
      <c r="D29" s="1335"/>
      <c r="E29" s="49"/>
    </row>
    <row r="30" spans="1:5" ht="13.5" thickBot="1">
      <c r="A30" s="1082" t="s">
        <v>190</v>
      </c>
      <c r="B30" s="1083" t="s">
        <v>191</v>
      </c>
      <c r="C30" s="1083" t="s">
        <v>192</v>
      </c>
      <c r="D30" s="1095" t="s">
        <v>193</v>
      </c>
      <c r="E30" s="49"/>
    </row>
    <row r="31" spans="1:5" ht="12.75">
      <c r="A31" s="313">
        <f>B12</f>
        <v>122900</v>
      </c>
      <c r="B31" s="1330" t="s">
        <v>195</v>
      </c>
      <c r="C31" s="1331"/>
      <c r="D31" s="1020">
        <f>D12</f>
        <v>4916000</v>
      </c>
      <c r="E31" s="49"/>
    </row>
    <row r="32" spans="1:5" ht="12.75">
      <c r="A32" s="1087"/>
      <c r="B32" s="1332" t="s">
        <v>196</v>
      </c>
      <c r="C32" s="1333"/>
      <c r="D32" s="1088">
        <f>SUM(D31:D31)</f>
        <v>4916000</v>
      </c>
      <c r="E32" s="49"/>
    </row>
    <row r="33" spans="1:6" ht="12.75">
      <c r="A33" s="1062" t="s">
        <v>197</v>
      </c>
      <c r="B33" s="315" t="s">
        <v>198</v>
      </c>
      <c r="C33" s="1093" t="s">
        <v>199</v>
      </c>
      <c r="D33" s="1088"/>
      <c r="E33" s="49"/>
    </row>
    <row r="34" spans="1:6" ht="12.75">
      <c r="A34" s="1087" t="s">
        <v>200</v>
      </c>
      <c r="B34" s="317">
        <v>350</v>
      </c>
      <c r="C34" s="1094">
        <f>D34/C7</f>
        <v>4.1512125534950073</v>
      </c>
      <c r="D34" s="1020">
        <f>B34*B14*12</f>
        <v>814800</v>
      </c>
      <c r="E34" s="49"/>
    </row>
    <row r="35" spans="1:6" ht="12.75">
      <c r="A35" s="1087" t="s">
        <v>201</v>
      </c>
      <c r="B35" s="317">
        <f>D31/B7</f>
        <v>25340.206185567011</v>
      </c>
      <c r="C35" s="1094">
        <f>D35/B11</f>
        <v>2.8000000000000003</v>
      </c>
      <c r="D35" s="1020">
        <f>D31*Assumptions!I14</f>
        <v>344120.00000000006</v>
      </c>
      <c r="E35" s="49"/>
    </row>
    <row r="36" spans="1:6" ht="13.5" thickBot="1">
      <c r="A36" s="54" t="s">
        <v>202</v>
      </c>
      <c r="B36" s="1329"/>
      <c r="C36" s="1329"/>
      <c r="D36" s="1096">
        <f>SUM(D34:D35)</f>
        <v>1158920</v>
      </c>
      <c r="E36" s="49"/>
    </row>
    <row r="37" spans="1:6" ht="14.25" thickTop="1" thickBot="1">
      <c r="A37" s="56">
        <v>0.05</v>
      </c>
      <c r="B37" s="1294"/>
      <c r="C37" s="1295"/>
      <c r="D37" s="57">
        <f>-A37*D32</f>
        <v>-245800</v>
      </c>
      <c r="E37" s="49"/>
    </row>
    <row r="38" spans="1:6" ht="14.25" thickTop="1" thickBot="1">
      <c r="A38" s="319" t="s">
        <v>203</v>
      </c>
      <c r="B38" s="58">
        <f>D38/B7</f>
        <v>30047.01030927835</v>
      </c>
      <c r="C38" s="58">
        <f>E38/C7</f>
        <v>0</v>
      </c>
      <c r="D38" s="59">
        <f>D32+D36+D37</f>
        <v>5829120</v>
      </c>
      <c r="E38" s="49"/>
    </row>
    <row r="39" spans="1:6" ht="13.5" thickBot="1">
      <c r="A39" s="888" t="s">
        <v>204</v>
      </c>
      <c r="B39" s="889" t="s">
        <v>191</v>
      </c>
      <c r="C39" s="889" t="s">
        <v>205</v>
      </c>
      <c r="D39" s="891" t="s">
        <v>193</v>
      </c>
      <c r="E39" s="49"/>
    </row>
    <row r="40" spans="1:6" ht="13.5" thickBot="1">
      <c r="A40" s="1064" t="s">
        <v>206</v>
      </c>
      <c r="B40" s="62"/>
      <c r="C40" s="62">
        <f>D40/B11</f>
        <v>-18</v>
      </c>
      <c r="D40" s="1065">
        <f>-0.45*D32</f>
        <v>-2212200</v>
      </c>
      <c r="E40" s="49"/>
    </row>
    <row r="41" spans="1:6" ht="13.5" thickBot="1">
      <c r="A41" s="1089" t="s">
        <v>207</v>
      </c>
      <c r="B41" s="1090"/>
      <c r="C41" s="1091"/>
      <c r="D41" s="1092">
        <f>D38+D40</f>
        <v>3616920</v>
      </c>
      <c r="E41" s="49"/>
    </row>
    <row r="42" spans="1:6" ht="15.75" customHeight="1" thickBot="1">
      <c r="A42" s="324" t="s">
        <v>208</v>
      </c>
      <c r="B42" s="63" t="s">
        <v>209</v>
      </c>
      <c r="C42" s="64">
        <v>4.4999999999999998E-2</v>
      </c>
      <c r="D42" s="982">
        <f>(D41/C42)+D28</f>
        <v>272013504</v>
      </c>
      <c r="E42" s="1327" t="s">
        <v>464</v>
      </c>
      <c r="F42" s="1328"/>
    </row>
    <row r="43" spans="1:6" ht="13.5" thickBot="1">
      <c r="A43" s="1319" t="s">
        <v>300</v>
      </c>
      <c r="B43" s="1320"/>
      <c r="C43" s="1321" t="str">
        <f>D2</f>
        <v>Chinook Condos</v>
      </c>
      <c r="D43" s="1322"/>
    </row>
    <row r="44" spans="1:6" ht="13.5" thickBot="1">
      <c r="A44" s="968"/>
      <c r="B44" s="65" t="s">
        <v>211</v>
      </c>
      <c r="C44" s="65" t="s">
        <v>212</v>
      </c>
      <c r="D44" s="65" t="s">
        <v>191</v>
      </c>
    </row>
    <row r="45" spans="1:6" ht="13.5" thickBot="1">
      <c r="A45" s="1191" t="s">
        <v>213</v>
      </c>
      <c r="B45" s="794">
        <f>Assumptions!I26</f>
        <v>248</v>
      </c>
      <c r="C45" s="1067">
        <f>B45*(C7)</f>
        <v>48677440</v>
      </c>
      <c r="D45" s="793">
        <f>C45/$B$7</f>
        <v>250914.63917525773</v>
      </c>
      <c r="E45" s="1325" t="s">
        <v>465</v>
      </c>
      <c r="F45" s="1326"/>
    </row>
    <row r="46" spans="1:6" ht="12.75">
      <c r="A46" s="625" t="s">
        <v>214</v>
      </c>
      <c r="B46" s="795">
        <f>Assumptions!D30</f>
        <v>36000</v>
      </c>
      <c r="C46" s="1068">
        <f>B46*B17</f>
        <v>7988399.9999999991</v>
      </c>
      <c r="D46" s="317">
        <f t="shared" ref="D46:D67" si="1">C46/$B$7</f>
        <v>41177.319587628859</v>
      </c>
    </row>
    <row r="47" spans="1:6" ht="12.75">
      <c r="A47" s="625" t="s">
        <v>59</v>
      </c>
      <c r="B47" s="796">
        <v>0.1</v>
      </c>
      <c r="C47" s="1068">
        <f>B47*C45</f>
        <v>4867744</v>
      </c>
      <c r="D47" s="317">
        <f t="shared" si="1"/>
        <v>25091.463917525773</v>
      </c>
    </row>
    <row r="48" spans="1:6" ht="12.75">
      <c r="A48" s="625" t="s">
        <v>11</v>
      </c>
      <c r="B48" s="1069">
        <v>4</v>
      </c>
      <c r="C48" s="1068">
        <f>C7</f>
        <v>196280</v>
      </c>
      <c r="D48" s="317">
        <f t="shared" si="1"/>
        <v>1011.7525773195877</v>
      </c>
    </row>
    <row r="49" spans="1:7" ht="12.75">
      <c r="A49" s="625" t="s">
        <v>215</v>
      </c>
      <c r="B49" s="1076" t="s">
        <v>216</v>
      </c>
      <c r="C49" s="1068">
        <v>70000000</v>
      </c>
      <c r="D49" s="317">
        <f t="shared" si="1"/>
        <v>360824.74226804124</v>
      </c>
    </row>
    <row r="50" spans="1:7" ht="12.75">
      <c r="A50" s="625" t="s">
        <v>62</v>
      </c>
      <c r="B50" s="801">
        <v>1500</v>
      </c>
      <c r="C50" s="1068">
        <f>B50*B7</f>
        <v>291000</v>
      </c>
      <c r="D50" s="317">
        <f t="shared" si="1"/>
        <v>1500</v>
      </c>
    </row>
    <row r="51" spans="1:7" ht="12.75">
      <c r="A51" s="625" t="s">
        <v>217</v>
      </c>
      <c r="B51" s="802" t="s">
        <v>218</v>
      </c>
      <c r="C51" s="1068">
        <f>'Development Program'!I20</f>
        <v>3000000</v>
      </c>
      <c r="D51" s="317">
        <f t="shared" si="1"/>
        <v>15463.917525773197</v>
      </c>
    </row>
    <row r="52" spans="1:7" ht="12.75">
      <c r="A52" s="1192" t="s">
        <v>66</v>
      </c>
      <c r="B52" s="1077" t="s">
        <v>67</v>
      </c>
      <c r="C52" s="332">
        <v>1000000</v>
      </c>
      <c r="D52" s="317">
        <f t="shared" si="1"/>
        <v>5154.6391752577319</v>
      </c>
    </row>
    <row r="53" spans="1:7" ht="12.75">
      <c r="A53" s="1192" t="s">
        <v>68</v>
      </c>
      <c r="B53" s="803">
        <v>0.01</v>
      </c>
      <c r="C53" s="332">
        <f>B53*C49</f>
        <v>700000</v>
      </c>
      <c r="D53" s="317">
        <f t="shared" si="1"/>
        <v>3608.2474226804125</v>
      </c>
      <c r="E53" s="68"/>
    </row>
    <row r="54" spans="1:7" ht="12.75">
      <c r="A54" s="1192" t="s">
        <v>69</v>
      </c>
      <c r="B54" s="798">
        <v>0.03</v>
      </c>
      <c r="C54" s="332">
        <f>B54*(C45+C47+C48)</f>
        <v>1612243.92</v>
      </c>
      <c r="D54" s="317">
        <f t="shared" si="1"/>
        <v>8310.5356701030923</v>
      </c>
    </row>
    <row r="55" spans="1:7" ht="12.75">
      <c r="A55" s="1192" t="s">
        <v>71</v>
      </c>
      <c r="B55" s="804">
        <v>0.03</v>
      </c>
      <c r="C55" s="332">
        <f>B55*SUM(C45:C54)</f>
        <v>4149993.2375999996</v>
      </c>
      <c r="D55" s="317">
        <f t="shared" si="1"/>
        <v>21391.717719587628</v>
      </c>
    </row>
    <row r="56" spans="1:7" ht="12.75">
      <c r="A56" s="1192" t="s">
        <v>73</v>
      </c>
      <c r="B56" s="798">
        <v>0.02</v>
      </c>
      <c r="C56" s="332">
        <f>B56*(C45+C47+C48)</f>
        <v>1074829.28</v>
      </c>
      <c r="D56" s="317">
        <f t="shared" si="1"/>
        <v>5540.3571134020622</v>
      </c>
    </row>
    <row r="57" spans="1:7" ht="12.75">
      <c r="A57" s="1192" t="s">
        <v>219</v>
      </c>
      <c r="B57" s="798" t="s">
        <v>444</v>
      </c>
      <c r="C57" s="332">
        <f>0.00883*C49*2</f>
        <v>1236200</v>
      </c>
      <c r="D57" s="317">
        <f t="shared" si="1"/>
        <v>6372.1649484536083</v>
      </c>
    </row>
    <row r="58" spans="1:7" ht="12.75">
      <c r="A58" s="1192" t="s">
        <v>77</v>
      </c>
      <c r="B58" s="1069">
        <v>2</v>
      </c>
      <c r="C58" s="332">
        <f>B58*(C7+B12)</f>
        <v>638360</v>
      </c>
      <c r="D58" s="317">
        <f t="shared" si="1"/>
        <v>3290.5154639175257</v>
      </c>
    </row>
    <row r="59" spans="1:7" ht="12.75">
      <c r="A59" s="1192" t="s">
        <v>79</v>
      </c>
      <c r="B59" s="1069">
        <v>2</v>
      </c>
      <c r="C59" s="332">
        <f>B59*(C7+B12)</f>
        <v>638360</v>
      </c>
      <c r="D59" s="317">
        <f t="shared" si="1"/>
        <v>3290.5154639175257</v>
      </c>
    </row>
    <row r="60" spans="1:7" ht="12.75">
      <c r="A60" s="1192" t="s">
        <v>80</v>
      </c>
      <c r="B60" s="799">
        <v>6</v>
      </c>
      <c r="C60" s="332">
        <f>-B60*(D40/12)</f>
        <v>1106100</v>
      </c>
      <c r="D60" s="317">
        <f t="shared" si="1"/>
        <v>5701.5463917525776</v>
      </c>
    </row>
    <row r="61" spans="1:7" ht="12.75">
      <c r="A61" s="1192" t="s">
        <v>296</v>
      </c>
      <c r="B61" s="799" t="s">
        <v>477</v>
      </c>
      <c r="C61" s="332">
        <v>1074480</v>
      </c>
      <c r="D61" s="317">
        <f t="shared" si="1"/>
        <v>5538.5567010309278</v>
      </c>
      <c r="E61" s="74"/>
    </row>
    <row r="62" spans="1:7" ht="12.75">
      <c r="A62" s="1192" t="s">
        <v>220</v>
      </c>
      <c r="B62" s="1073">
        <v>125</v>
      </c>
      <c r="C62" s="332">
        <f>B62*B11</f>
        <v>15362500</v>
      </c>
      <c r="D62" s="317">
        <f t="shared" si="1"/>
        <v>79188.14432989691</v>
      </c>
    </row>
    <row r="63" spans="1:7" ht="12.75">
      <c r="A63" s="1192" t="s">
        <v>221</v>
      </c>
      <c r="B63" s="805">
        <v>0.06</v>
      </c>
      <c r="C63" s="332">
        <f>B63*10*D32</f>
        <v>2949600</v>
      </c>
      <c r="D63" s="317">
        <f t="shared" si="1"/>
        <v>15204.123711340206</v>
      </c>
    </row>
    <row r="64" spans="1:7" ht="12.75">
      <c r="A64" s="1192" t="s">
        <v>83</v>
      </c>
      <c r="B64" s="806">
        <v>1.4999999999999999E-2</v>
      </c>
      <c r="C64" s="332">
        <v>1534380</v>
      </c>
      <c r="D64" s="317">
        <f t="shared" si="1"/>
        <v>7909.1752577319585</v>
      </c>
      <c r="E64" s="1264" t="s">
        <v>280</v>
      </c>
      <c r="F64" s="1265"/>
      <c r="G64" s="70">
        <f>B64*B77</f>
        <v>1327602.9115648197</v>
      </c>
    </row>
    <row r="65" spans="1:7" ht="12.75">
      <c r="A65" s="1193" t="s">
        <v>84</v>
      </c>
      <c r="B65" s="1074">
        <v>7.0000000000000007E-2</v>
      </c>
      <c r="C65" s="332">
        <v>7163200</v>
      </c>
      <c r="D65" s="317">
        <f t="shared" si="1"/>
        <v>36923.711340206188</v>
      </c>
      <c r="E65" s="1264" t="s">
        <v>280</v>
      </c>
      <c r="F65" s="1265"/>
      <c r="G65" s="71">
        <f>B65*B77</f>
        <v>6195480.2539691599</v>
      </c>
    </row>
    <row r="66" spans="1:7" ht="13.5" thickBot="1">
      <c r="A66" s="1195" t="s">
        <v>223</v>
      </c>
      <c r="B66" s="1075">
        <v>0.01</v>
      </c>
      <c r="C66" s="332">
        <f>B66*SUM(C45:C65)</f>
        <v>1752611.1043759999</v>
      </c>
      <c r="D66" s="317">
        <f t="shared" si="1"/>
        <v>9034.0778576082466</v>
      </c>
    </row>
    <row r="67" spans="1:7" ht="14.25" thickTop="1" thickBot="1">
      <c r="A67" s="337" t="s">
        <v>224</v>
      </c>
      <c r="B67" s="338"/>
      <c r="C67" s="72">
        <f>SUM(C45:C66)</f>
        <v>177013721.54197598</v>
      </c>
      <c r="D67" s="72">
        <f t="shared" si="1"/>
        <v>912441.86361843289</v>
      </c>
    </row>
    <row r="68" spans="1:7" ht="12.75">
      <c r="A68" s="339" t="s">
        <v>225</v>
      </c>
      <c r="B68" s="340">
        <f>D41/C67</f>
        <v>2.0432992247678975E-2</v>
      </c>
    </row>
    <row r="69" spans="1:7" ht="12.75">
      <c r="A69" s="341" t="s">
        <v>226</v>
      </c>
      <c r="B69" s="342">
        <f>(D42/C67)-1</f>
        <v>0.53668032980989189</v>
      </c>
      <c r="C69" s="73"/>
      <c r="D69" s="74"/>
    </row>
    <row r="70" spans="1:7" ht="13.5" thickBot="1">
      <c r="A70" s="343">
        <v>0.2</v>
      </c>
      <c r="B70" s="344">
        <f>(D42/(1+A70))</f>
        <v>226677920</v>
      </c>
    </row>
    <row r="71" spans="1:7" ht="13.5" thickBot="1">
      <c r="A71" s="446">
        <v>0.2</v>
      </c>
      <c r="B71" s="344">
        <f>ROUND((D42/(1+A71))-C67,-3)</f>
        <v>49664000</v>
      </c>
      <c r="C71" s="75" t="s">
        <v>227</v>
      </c>
    </row>
    <row r="72" spans="1:7" ht="13.5" thickBot="1">
      <c r="A72" s="76"/>
      <c r="B72" s="77"/>
    </row>
    <row r="73" spans="1:7" ht="14.45" customHeight="1">
      <c r="A73" s="1323" t="s">
        <v>228</v>
      </c>
      <c r="B73" s="1324"/>
      <c r="C73" s="1106" t="str">
        <f>D2</f>
        <v>Chinook Condos</v>
      </c>
    </row>
    <row r="74" spans="1:7" ht="13.5" thickBot="1">
      <c r="A74" s="500"/>
      <c r="B74" s="1104" t="s">
        <v>229</v>
      </c>
      <c r="C74" s="180" t="s">
        <v>191</v>
      </c>
    </row>
    <row r="75" spans="1:7" ht="12.75">
      <c r="A75" s="1105" t="s">
        <v>230</v>
      </c>
      <c r="B75" s="79">
        <f>IF(B71&lt;0,B71,0)</f>
        <v>0</v>
      </c>
      <c r="C75" s="609"/>
    </row>
    <row r="76" spans="1:7" ht="12.75">
      <c r="A76" s="1105" t="s">
        <v>231</v>
      </c>
      <c r="B76" s="79">
        <f>C67+B75</f>
        <v>177013721.54197598</v>
      </c>
      <c r="C76" s="82">
        <f>B76/$B$7</f>
        <v>912441.86361843289</v>
      </c>
    </row>
    <row r="77" spans="1:7" ht="12.75">
      <c r="A77" s="448">
        <v>0.5</v>
      </c>
      <c r="B77" s="81">
        <f>A77*B$76</f>
        <v>88506860.770987988</v>
      </c>
      <c r="C77" s="82">
        <f>B77/$B$7</f>
        <v>456220.93180921645</v>
      </c>
    </row>
    <row r="78" spans="1:7" ht="13.5" thickBot="1">
      <c r="A78" s="351">
        <f>1-A77</f>
        <v>0.5</v>
      </c>
      <c r="B78" s="501">
        <f>A78*B$76</f>
        <v>88506860.770987988</v>
      </c>
      <c r="C78" s="82">
        <f t="shared" ref="C78:C79" si="2">B78/$B$7</f>
        <v>456220.93180921645</v>
      </c>
      <c r="D78" s="74"/>
    </row>
    <row r="79" spans="1:7" ht="13.5" thickTop="1">
      <c r="A79" s="126" t="s">
        <v>232</v>
      </c>
      <c r="B79" s="449">
        <f>B77+B78</f>
        <v>177013721.54197598</v>
      </c>
      <c r="C79" s="770">
        <f t="shared" si="2"/>
        <v>912441.86361843289</v>
      </c>
    </row>
    <row r="80" spans="1:7" ht="13.5" thickBot="1">
      <c r="A80" s="354"/>
      <c r="B80" s="212"/>
      <c r="C80" s="355"/>
    </row>
    <row r="81" spans="1:5" ht="15" customHeight="1" thickBot="1">
      <c r="A81" s="1292" t="s">
        <v>233</v>
      </c>
      <c r="B81" s="1293"/>
      <c r="C81" s="346" t="str">
        <f>D2</f>
        <v>Chinook Condos</v>
      </c>
    </row>
    <row r="82" spans="1:5" ht="12.75">
      <c r="A82" s="1099"/>
      <c r="B82" s="1100" t="s">
        <v>234</v>
      </c>
      <c r="C82" s="1100"/>
    </row>
    <row r="83" spans="1:5" ht="12.75">
      <c r="A83" s="256" t="s">
        <v>235</v>
      </c>
      <c r="B83" s="1097">
        <f>ROUND(D42,-2)</f>
        <v>272013500</v>
      </c>
      <c r="C83" s="1101"/>
    </row>
    <row r="84" spans="1:5" ht="12.75">
      <c r="A84" s="1102">
        <v>0.02</v>
      </c>
      <c r="B84" s="1098">
        <f>(-ROUND(A84*B83,-2))</f>
        <v>-5440300</v>
      </c>
      <c r="C84" s="1101"/>
    </row>
    <row r="85" spans="1:5" ht="12.75">
      <c r="A85" s="256" t="s">
        <v>236</v>
      </c>
      <c r="B85" s="1097">
        <f>SUM(B83:B84)</f>
        <v>266573200</v>
      </c>
      <c r="C85" s="1101"/>
      <c r="E85" s="85"/>
    </row>
    <row r="86" spans="1:5" ht="12.75">
      <c r="A86" s="256" t="s">
        <v>237</v>
      </c>
      <c r="B86" s="1097">
        <f>-B77</f>
        <v>-88506860.770987988</v>
      </c>
      <c r="C86" s="1101"/>
    </row>
    <row r="87" spans="1:5" ht="13.5" thickBot="1">
      <c r="A87" s="263" t="s">
        <v>238</v>
      </c>
      <c r="B87" s="502">
        <f>-B78</f>
        <v>-88506860.770987988</v>
      </c>
      <c r="C87" s="1103"/>
    </row>
    <row r="88" spans="1:5" ht="14.25" thickTop="1" thickBot="1">
      <c r="A88" s="135" t="s">
        <v>239</v>
      </c>
      <c r="B88" s="86">
        <f>ROUND(B85+B86+B87,-2)</f>
        <v>89559500</v>
      </c>
      <c r="C88" s="182"/>
      <c r="D88" s="87"/>
    </row>
    <row r="89" spans="1:5" ht="13.5" thickBot="1">
      <c r="A89" s="1277" t="s">
        <v>240</v>
      </c>
      <c r="B89" s="1278"/>
      <c r="C89" s="1279"/>
    </row>
    <row r="90" spans="1:5" ht="12.75">
      <c r="A90" s="366" t="s">
        <v>241</v>
      </c>
      <c r="B90" s="367">
        <f>ROUND((B83)/B7,-2)</f>
        <v>1402100</v>
      </c>
      <c r="C90" s="367"/>
    </row>
    <row r="91" spans="1:5" ht="13.5" thickBot="1">
      <c r="A91" s="368" t="s">
        <v>242</v>
      </c>
      <c r="B91" s="369">
        <f>ROUND((B85)/B7,-2)</f>
        <v>1374100</v>
      </c>
      <c r="C91" s="369"/>
    </row>
    <row r="92" spans="1:5" ht="13.5" thickBot="1">
      <c r="A92" s="1280" t="s">
        <v>243</v>
      </c>
      <c r="B92" s="1281"/>
      <c r="C92" s="1282"/>
    </row>
    <row r="93" spans="1:5" ht="12.75">
      <c r="A93" s="89"/>
      <c r="B93" s="356" t="s">
        <v>234</v>
      </c>
      <c r="C93" s="356"/>
    </row>
    <row r="94" spans="1:5" ht="12.75">
      <c r="A94" s="370" t="s">
        <v>244</v>
      </c>
      <c r="B94" s="371">
        <f>(B88+B78)/B78</f>
        <v>2.0118933065735516</v>
      </c>
      <c r="C94" s="371"/>
    </row>
    <row r="95" spans="1:5" ht="12.75">
      <c r="A95" s="370" t="s">
        <v>474</v>
      </c>
      <c r="B95" s="986">
        <f>'Chinook Draw'!B44</f>
        <v>0.28989403816821424</v>
      </c>
      <c r="C95" s="371"/>
    </row>
    <row r="96" spans="1:5" ht="12.75">
      <c r="A96" s="370" t="s">
        <v>245</v>
      </c>
      <c r="B96" s="986">
        <f>'Chinook Draw'!B39</f>
        <v>0.37575717382904195</v>
      </c>
      <c r="C96" s="165"/>
      <c r="D96" s="90"/>
    </row>
    <row r="97" spans="1:3" ht="12.75">
      <c r="A97" s="370" t="s">
        <v>247</v>
      </c>
      <c r="B97" s="373">
        <f>D41/B77</f>
        <v>4.086598449535795E-2</v>
      </c>
      <c r="C97" s="373"/>
    </row>
    <row r="98" spans="1:3" ht="12.75">
      <c r="A98" s="370" t="s">
        <v>248</v>
      </c>
      <c r="B98" s="374">
        <f>C42</f>
        <v>4.4999999999999998E-2</v>
      </c>
      <c r="C98" s="374"/>
    </row>
  </sheetData>
  <mergeCells count="21">
    <mergeCell ref="B36:C36"/>
    <mergeCell ref="B31:C31"/>
    <mergeCell ref="B32:C32"/>
    <mergeCell ref="A2:C2"/>
    <mergeCell ref="D2:E2"/>
    <mergeCell ref="C29:D29"/>
    <mergeCell ref="A29:B29"/>
    <mergeCell ref="A24:D24"/>
    <mergeCell ref="B27:C27"/>
    <mergeCell ref="A28:C28"/>
    <mergeCell ref="A89:C89"/>
    <mergeCell ref="A92:C92"/>
    <mergeCell ref="B37:C37"/>
    <mergeCell ref="E64:F64"/>
    <mergeCell ref="E65:F65"/>
    <mergeCell ref="A43:B43"/>
    <mergeCell ref="C43:D43"/>
    <mergeCell ref="A73:B73"/>
    <mergeCell ref="A81:B81"/>
    <mergeCell ref="E45:F45"/>
    <mergeCell ref="E42:F42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B75A-F282-4C6B-8AB2-C98A1ACEC3CD}">
  <sheetPr>
    <tabColor rgb="FF0070C0"/>
  </sheetPr>
  <dimension ref="A1:AO599"/>
  <sheetViews>
    <sheetView zoomScaleNormal="100" zoomScalePageLayoutView="125" workbookViewId="0">
      <pane xSplit="1" ySplit="4" topLeftCell="B20" activePane="bottomRight" state="frozen"/>
      <selection pane="topRight" activeCell="B1" sqref="B1"/>
      <selection pane="bottomLeft" activeCell="A4" sqref="A4"/>
      <selection pane="bottomRight" activeCell="C42" sqref="C42"/>
    </sheetView>
  </sheetViews>
  <sheetFormatPr defaultColWidth="8.85546875" defaultRowHeight="12.75"/>
  <cols>
    <col min="1" max="1" width="45.5703125" style="21" customWidth="1"/>
    <col min="2" max="2" width="21.42578125" style="21" customWidth="1"/>
    <col min="3" max="3" width="18.140625" style="21" customWidth="1"/>
    <col min="4" max="4" width="15.5703125" style="21" customWidth="1"/>
    <col min="5" max="5" width="16.85546875" style="21" customWidth="1"/>
    <col min="6" max="6" width="18.5703125" style="21" customWidth="1"/>
    <col min="7" max="7" width="14.42578125" style="139" customWidth="1"/>
    <col min="8" max="8" width="19" style="21" customWidth="1"/>
    <col min="9" max="9" width="13.42578125" style="21" customWidth="1"/>
    <col min="10" max="10" width="16.42578125" style="21" customWidth="1"/>
    <col min="11" max="11" width="12.42578125" style="21" customWidth="1"/>
    <col min="12" max="12" width="12.85546875" style="21" bestFit="1" customWidth="1"/>
    <col min="13" max="13" width="17.5703125" style="21" bestFit="1" customWidth="1"/>
    <col min="14" max="38" width="17" style="21" customWidth="1"/>
    <col min="39" max="39" width="16.5703125" style="21" customWidth="1"/>
    <col min="40" max="40" width="15" style="21" customWidth="1"/>
    <col min="41" max="41" width="17.85546875" style="21" bestFit="1" customWidth="1"/>
    <col min="42" max="42" width="9.5703125" style="21" bestFit="1" customWidth="1"/>
    <col min="43" max="43" width="11.85546875" style="21" bestFit="1" customWidth="1"/>
    <col min="44" max="45" width="9.5703125" style="21" bestFit="1" customWidth="1"/>
    <col min="46" max="16384" width="8.85546875" style="21"/>
  </cols>
  <sheetData>
    <row r="1" spans="1:41" ht="15">
      <c r="A1" s="1299" t="str">
        <f>'Development Program'!B28</f>
        <v>Chinook Condos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M1"/>
      <c r="AN1"/>
      <c r="AO1"/>
    </row>
    <row r="2" spans="1:41" ht="15">
      <c r="A2" s="1283"/>
      <c r="B2" s="754" t="s">
        <v>250</v>
      </c>
      <c r="C2" s="1107" t="str">
        <f>'Development Program'!D28</f>
        <v>01/1/28 to 12/31/28</v>
      </c>
      <c r="D2" s="1107" t="str">
        <f>'Development Program'!E28</f>
        <v>None</v>
      </c>
      <c r="E2" s="1107" t="str">
        <f>'Development Program'!F28</f>
        <v>1/1/29 to 12/31/30</v>
      </c>
      <c r="F2" s="1107" t="str">
        <f>'Development Program'!G28</f>
        <v>1/1/31 to 6/30/31</v>
      </c>
      <c r="G2" s="21"/>
      <c r="M2" s="1285"/>
      <c r="N2" s="1285"/>
      <c r="O2" s="1285"/>
      <c r="P2" s="226"/>
      <c r="AM2"/>
      <c r="AN2"/>
      <c r="AO2"/>
    </row>
    <row r="3" spans="1:41" ht="26.25">
      <c r="A3" s="1283"/>
      <c r="B3" s="1108"/>
      <c r="C3" s="1109" t="s">
        <v>301</v>
      </c>
      <c r="D3" s="1110"/>
      <c r="E3" s="1110"/>
      <c r="F3" s="1110"/>
      <c r="G3" s="21"/>
      <c r="J3" s="773" t="s">
        <v>302</v>
      </c>
      <c r="K3" s="773" t="s">
        <v>303</v>
      </c>
      <c r="L3" s="773" t="s">
        <v>304</v>
      </c>
      <c r="M3" s="772"/>
      <c r="N3" s="716"/>
      <c r="O3" s="716"/>
      <c r="P3" s="226"/>
      <c r="AM3"/>
      <c r="AN3"/>
      <c r="AO3"/>
    </row>
    <row r="4" spans="1:41" ht="15.75" thickBot="1">
      <c r="A4" s="1284"/>
      <c r="B4" s="142" t="s">
        <v>122</v>
      </c>
      <c r="C4" s="203">
        <v>47119</v>
      </c>
      <c r="D4" s="204">
        <f>EOMONTH(C4,3)</f>
        <v>47238</v>
      </c>
      <c r="E4" s="204">
        <f t="shared" ref="E4:L4" si="0">EOMONTH(D4,3)</f>
        <v>47330</v>
      </c>
      <c r="F4" s="204">
        <f t="shared" si="0"/>
        <v>47422</v>
      </c>
      <c r="G4" s="246">
        <f t="shared" si="0"/>
        <v>47514</v>
      </c>
      <c r="H4" s="246">
        <f t="shared" si="0"/>
        <v>47603</v>
      </c>
      <c r="I4" s="246">
        <f t="shared" si="0"/>
        <v>47695</v>
      </c>
      <c r="J4" s="246">
        <f t="shared" si="0"/>
        <v>47787</v>
      </c>
      <c r="K4" s="246">
        <f t="shared" si="0"/>
        <v>47879</v>
      </c>
      <c r="L4" s="246">
        <f t="shared" si="0"/>
        <v>47968</v>
      </c>
      <c r="M4" s="503" t="s">
        <v>257</v>
      </c>
      <c r="N4" s="379" t="s">
        <v>258</v>
      </c>
      <c r="O4" s="378"/>
      <c r="P4" s="378"/>
      <c r="Q4" s="378"/>
      <c r="R4" s="378"/>
      <c r="S4" s="378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  <c r="AM4"/>
      <c r="AN4"/>
      <c r="AO4"/>
    </row>
    <row r="5" spans="1:41" ht="15.75" thickBot="1">
      <c r="A5" s="380" t="s">
        <v>259</v>
      </c>
      <c r="B5" s="381">
        <v>1</v>
      </c>
      <c r="C5" s="239">
        <v>0</v>
      </c>
      <c r="D5" s="239">
        <v>0.05</v>
      </c>
      <c r="E5" s="239">
        <v>0.15</v>
      </c>
      <c r="F5" s="239">
        <v>0.15</v>
      </c>
      <c r="G5" s="239">
        <v>0.15</v>
      </c>
      <c r="H5" s="239">
        <v>0.1</v>
      </c>
      <c r="I5" s="239">
        <v>0.1</v>
      </c>
      <c r="J5" s="239">
        <v>0.15</v>
      </c>
      <c r="K5" s="239">
        <v>0.15</v>
      </c>
      <c r="L5" s="239">
        <v>0</v>
      </c>
      <c r="M5" s="253">
        <f t="shared" ref="M5:M26" si="1">SUM(C5:L5)</f>
        <v>1</v>
      </c>
      <c r="N5" s="383"/>
      <c r="O5" s="216" t="s">
        <v>260</v>
      </c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/>
      <c r="AN5"/>
      <c r="AO5"/>
    </row>
    <row r="6" spans="1:41" ht="15">
      <c r="A6" s="384" t="str">
        <f>'Chinook Financial'!A45</f>
        <v>Hard Costs for Construction</v>
      </c>
      <c r="B6" s="490">
        <f>'Chinook Financial'!C45</f>
        <v>48677440</v>
      </c>
      <c r="C6" s="386">
        <f>$B6*C$5</f>
        <v>0</v>
      </c>
      <c r="D6" s="386">
        <f t="shared" ref="D6:L21" si="2">$B6*D$5</f>
        <v>2433872</v>
      </c>
      <c r="E6" s="386">
        <f t="shared" si="2"/>
        <v>7301616</v>
      </c>
      <c r="F6" s="386">
        <f t="shared" si="2"/>
        <v>7301616</v>
      </c>
      <c r="G6" s="386">
        <f t="shared" si="2"/>
        <v>7301616</v>
      </c>
      <c r="H6" s="386">
        <f t="shared" si="2"/>
        <v>4867744</v>
      </c>
      <c r="I6" s="386">
        <f t="shared" si="2"/>
        <v>4867744</v>
      </c>
      <c r="J6" s="386">
        <f t="shared" si="2"/>
        <v>7301616</v>
      </c>
      <c r="K6" s="386">
        <f t="shared" si="2"/>
        <v>7301616</v>
      </c>
      <c r="L6" s="386">
        <f t="shared" si="2"/>
        <v>0</v>
      </c>
      <c r="M6" s="218">
        <f t="shared" si="1"/>
        <v>48677440</v>
      </c>
      <c r="N6" s="387">
        <f t="shared" ref="N6:N26" si="3">B6</f>
        <v>48677440</v>
      </c>
      <c r="O6" s="387">
        <f>N6-M6</f>
        <v>0</v>
      </c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87"/>
      <c r="AG6" s="387"/>
      <c r="AH6" s="387"/>
      <c r="AI6" s="387"/>
      <c r="AJ6" s="387"/>
      <c r="AK6" s="387"/>
      <c r="AL6" s="387"/>
      <c r="AM6"/>
      <c r="AN6"/>
      <c r="AO6"/>
    </row>
    <row r="7" spans="1:41" ht="15">
      <c r="A7" s="384" t="str">
        <f>'Chinook Financial'!A46</f>
        <v>Parking stalls</v>
      </c>
      <c r="B7" s="490">
        <f>'Chinook Financial'!C46</f>
        <v>7988399.9999999991</v>
      </c>
      <c r="C7" s="386">
        <f t="shared" ref="C7:L26" si="4">$B7*C$5</f>
        <v>0</v>
      </c>
      <c r="D7" s="386">
        <f t="shared" si="2"/>
        <v>399420</v>
      </c>
      <c r="E7" s="386">
        <f t="shared" si="2"/>
        <v>1198259.9999999998</v>
      </c>
      <c r="F7" s="386">
        <f t="shared" si="2"/>
        <v>1198259.9999999998</v>
      </c>
      <c r="G7" s="386">
        <f t="shared" si="2"/>
        <v>1198259.9999999998</v>
      </c>
      <c r="H7" s="386">
        <f t="shared" si="2"/>
        <v>798840</v>
      </c>
      <c r="I7" s="386">
        <f t="shared" si="2"/>
        <v>798840</v>
      </c>
      <c r="J7" s="386">
        <f t="shared" si="2"/>
        <v>1198259.9999999998</v>
      </c>
      <c r="K7" s="386">
        <f t="shared" si="2"/>
        <v>1198259.9999999998</v>
      </c>
      <c r="L7" s="386">
        <f t="shared" si="2"/>
        <v>0</v>
      </c>
      <c r="M7" s="387">
        <f t="shared" si="1"/>
        <v>7988399.9999999991</v>
      </c>
      <c r="N7" s="387">
        <f t="shared" si="3"/>
        <v>7988399.9999999991</v>
      </c>
      <c r="O7" s="387">
        <f t="shared" ref="O7:O26" si="5">N7-M7</f>
        <v>0</v>
      </c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7"/>
      <c r="AK7" s="387"/>
      <c r="AL7" s="387"/>
      <c r="AM7"/>
      <c r="AN7"/>
      <c r="AO7"/>
    </row>
    <row r="8" spans="1:41" ht="15">
      <c r="A8" s="384" t="str">
        <f>'Chinook Financial'!A47</f>
        <v>Hard Cost Contingency</v>
      </c>
      <c r="B8" s="490">
        <f>'Chinook Financial'!C47</f>
        <v>4867744</v>
      </c>
      <c r="C8" s="386">
        <f t="shared" si="4"/>
        <v>0</v>
      </c>
      <c r="D8" s="386">
        <f t="shared" si="2"/>
        <v>243387.2</v>
      </c>
      <c r="E8" s="386">
        <f t="shared" si="2"/>
        <v>730161.6</v>
      </c>
      <c r="F8" s="386">
        <f t="shared" si="2"/>
        <v>730161.6</v>
      </c>
      <c r="G8" s="386">
        <f t="shared" si="2"/>
        <v>730161.6</v>
      </c>
      <c r="H8" s="386">
        <f t="shared" si="2"/>
        <v>486774.4</v>
      </c>
      <c r="I8" s="386">
        <f t="shared" si="2"/>
        <v>486774.4</v>
      </c>
      <c r="J8" s="386">
        <f t="shared" si="2"/>
        <v>730161.6</v>
      </c>
      <c r="K8" s="386">
        <f t="shared" si="2"/>
        <v>730161.6</v>
      </c>
      <c r="L8" s="386">
        <f t="shared" si="2"/>
        <v>0</v>
      </c>
      <c r="M8" s="387">
        <f t="shared" si="1"/>
        <v>4867744</v>
      </c>
      <c r="N8" s="387">
        <f t="shared" si="3"/>
        <v>4867744</v>
      </c>
      <c r="O8" s="387">
        <f t="shared" si="5"/>
        <v>0</v>
      </c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387"/>
      <c r="AH8" s="387"/>
      <c r="AI8" s="387"/>
      <c r="AJ8" s="387"/>
      <c r="AK8" s="387"/>
      <c r="AL8" s="387"/>
      <c r="AM8"/>
      <c r="AN8"/>
      <c r="AO8"/>
    </row>
    <row r="9" spans="1:41" ht="15">
      <c r="A9" s="384" t="str">
        <f>'Chinook Financial'!A48</f>
        <v>Demolition</v>
      </c>
      <c r="B9" s="490">
        <f>'Chinook Financial'!C48</f>
        <v>196280</v>
      </c>
      <c r="C9" s="386">
        <f>B9</f>
        <v>196280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f t="shared" si="2"/>
        <v>0</v>
      </c>
      <c r="M9" s="387">
        <f t="shared" si="1"/>
        <v>196280</v>
      </c>
      <c r="N9" s="387">
        <f t="shared" si="3"/>
        <v>196280</v>
      </c>
      <c r="O9" s="387">
        <f t="shared" si="5"/>
        <v>0</v>
      </c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/>
      <c r="AN9"/>
      <c r="AO9"/>
    </row>
    <row r="10" spans="1:41" ht="15">
      <c r="A10" s="384" t="str">
        <f>'Chinook Financial'!A49</f>
        <v>LAND</v>
      </c>
      <c r="B10" s="490">
        <f>'Chinook Financial'!C49</f>
        <v>70000000</v>
      </c>
      <c r="C10" s="386">
        <f>B10</f>
        <v>70000000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f t="shared" si="2"/>
        <v>0</v>
      </c>
      <c r="M10" s="387">
        <f t="shared" si="1"/>
        <v>70000000</v>
      </c>
      <c r="N10" s="387">
        <f t="shared" si="3"/>
        <v>70000000</v>
      </c>
      <c r="O10" s="387">
        <f t="shared" si="5"/>
        <v>0</v>
      </c>
      <c r="P10" s="505"/>
      <c r="Q10" s="505"/>
      <c r="R10" s="505"/>
      <c r="S10" s="505"/>
      <c r="T10" s="505"/>
      <c r="U10" s="505"/>
      <c r="V10" s="505"/>
      <c r="W10" s="505"/>
      <c r="X10" s="505"/>
      <c r="Y10" s="505"/>
      <c r="Z10" s="505"/>
      <c r="AA10" s="505"/>
      <c r="AB10" s="505"/>
      <c r="AC10" s="505"/>
      <c r="AD10" s="505"/>
      <c r="AE10" s="505"/>
      <c r="AF10" s="505"/>
      <c r="AG10" s="505"/>
      <c r="AH10" s="505"/>
      <c r="AI10" s="505"/>
      <c r="AJ10" s="505"/>
      <c r="AK10" s="505"/>
      <c r="AL10" s="505"/>
      <c r="AM10"/>
      <c r="AN10"/>
      <c r="AO10"/>
    </row>
    <row r="11" spans="1:41" ht="15">
      <c r="A11" s="384" t="str">
        <f>'Chinook Financial'!A50</f>
        <v>Municipal Fees and Allowances</v>
      </c>
      <c r="B11" s="490">
        <f>'Chinook Financial'!C50</f>
        <v>291000</v>
      </c>
      <c r="C11" s="386">
        <f>B11</f>
        <v>291000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f t="shared" si="2"/>
        <v>0</v>
      </c>
      <c r="M11" s="387">
        <f t="shared" si="1"/>
        <v>291000</v>
      </c>
      <c r="N11" s="387">
        <f t="shared" si="3"/>
        <v>291000</v>
      </c>
      <c r="O11" s="387">
        <f t="shared" si="5"/>
        <v>0</v>
      </c>
      <c r="P11" s="506"/>
      <c r="Q11" s="506"/>
      <c r="R11" s="506"/>
      <c r="S11" s="506"/>
      <c r="T11" s="506"/>
      <c r="U11" s="506"/>
      <c r="V11" s="506"/>
      <c r="W11" s="506"/>
      <c r="X11" s="506"/>
      <c r="Y11" s="506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506"/>
      <c r="AM11"/>
      <c r="AN11"/>
      <c r="AO11"/>
    </row>
    <row r="12" spans="1:41" ht="15">
      <c r="A12" s="384" t="str">
        <f>'Chinook Financial'!A51</f>
        <v>Infrastructure allocation</v>
      </c>
      <c r="B12" s="490">
        <f>'Chinook Financial'!C51</f>
        <v>3000000</v>
      </c>
      <c r="C12" s="386">
        <f t="shared" si="4"/>
        <v>0</v>
      </c>
      <c r="D12" s="386">
        <f t="shared" si="2"/>
        <v>150000</v>
      </c>
      <c r="E12" s="386">
        <f t="shared" si="2"/>
        <v>450000</v>
      </c>
      <c r="F12" s="386">
        <f t="shared" si="2"/>
        <v>450000</v>
      </c>
      <c r="G12" s="386">
        <f t="shared" si="2"/>
        <v>450000</v>
      </c>
      <c r="H12" s="386">
        <f t="shared" si="2"/>
        <v>300000</v>
      </c>
      <c r="I12" s="386">
        <f t="shared" si="2"/>
        <v>300000</v>
      </c>
      <c r="J12" s="386">
        <f t="shared" si="2"/>
        <v>450000</v>
      </c>
      <c r="K12" s="386">
        <f t="shared" si="2"/>
        <v>450000</v>
      </c>
      <c r="L12" s="386">
        <f t="shared" si="2"/>
        <v>0</v>
      </c>
      <c r="M12" s="387">
        <f t="shared" si="1"/>
        <v>3000000</v>
      </c>
      <c r="N12" s="387">
        <f t="shared" si="3"/>
        <v>3000000</v>
      </c>
      <c r="O12" s="387">
        <f t="shared" si="5"/>
        <v>0</v>
      </c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506"/>
      <c r="AM12"/>
      <c r="AN12"/>
      <c r="AO12"/>
    </row>
    <row r="13" spans="1:41" ht="15">
      <c r="A13" s="384" t="str">
        <f>'Chinook Financial'!A52</f>
        <v>Legal</v>
      </c>
      <c r="B13" s="490">
        <f>'Chinook Financial'!C52</f>
        <v>1000000</v>
      </c>
      <c r="C13" s="386">
        <f t="shared" si="4"/>
        <v>0</v>
      </c>
      <c r="D13" s="386">
        <f t="shared" si="2"/>
        <v>50000</v>
      </c>
      <c r="E13" s="386">
        <f t="shared" si="2"/>
        <v>150000</v>
      </c>
      <c r="F13" s="386">
        <f t="shared" si="2"/>
        <v>150000</v>
      </c>
      <c r="G13" s="386">
        <f t="shared" si="2"/>
        <v>150000</v>
      </c>
      <c r="H13" s="386">
        <f t="shared" si="2"/>
        <v>100000</v>
      </c>
      <c r="I13" s="386">
        <f t="shared" si="2"/>
        <v>100000</v>
      </c>
      <c r="J13" s="386">
        <f t="shared" si="2"/>
        <v>150000</v>
      </c>
      <c r="K13" s="386">
        <f t="shared" si="2"/>
        <v>150000</v>
      </c>
      <c r="L13" s="386">
        <f t="shared" si="2"/>
        <v>0</v>
      </c>
      <c r="M13" s="387">
        <f t="shared" si="1"/>
        <v>1000000</v>
      </c>
      <c r="N13" s="387">
        <f t="shared" si="3"/>
        <v>1000000</v>
      </c>
      <c r="O13" s="387">
        <f t="shared" si="5"/>
        <v>0</v>
      </c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  <c r="AA13" s="508"/>
      <c r="AB13" s="508"/>
      <c r="AC13" s="508"/>
      <c r="AD13" s="508"/>
      <c r="AE13" s="508"/>
      <c r="AF13" s="508"/>
      <c r="AG13" s="508"/>
      <c r="AH13" s="508"/>
      <c r="AI13" s="508"/>
      <c r="AJ13" s="508"/>
      <c r="AK13" s="508"/>
      <c r="AL13" s="508"/>
      <c r="AM13"/>
      <c r="AN13"/>
      <c r="AO13"/>
    </row>
    <row r="14" spans="1:41" ht="15">
      <c r="A14" s="384" t="str">
        <f>'Chinook Financial'!A53</f>
        <v>Land Closing Costs/commissions</v>
      </c>
      <c r="B14" s="490">
        <f>'Chinook Financial'!C53</f>
        <v>700000</v>
      </c>
      <c r="C14" s="386">
        <f t="shared" si="4"/>
        <v>0</v>
      </c>
      <c r="D14" s="386">
        <f t="shared" si="2"/>
        <v>35000</v>
      </c>
      <c r="E14" s="386">
        <f t="shared" si="2"/>
        <v>105000</v>
      </c>
      <c r="F14" s="386">
        <f t="shared" si="2"/>
        <v>105000</v>
      </c>
      <c r="G14" s="386">
        <f t="shared" si="2"/>
        <v>105000</v>
      </c>
      <c r="H14" s="386">
        <f t="shared" si="2"/>
        <v>70000</v>
      </c>
      <c r="I14" s="386">
        <f t="shared" si="2"/>
        <v>70000</v>
      </c>
      <c r="J14" s="386">
        <f t="shared" si="2"/>
        <v>105000</v>
      </c>
      <c r="K14" s="386">
        <f t="shared" si="2"/>
        <v>105000</v>
      </c>
      <c r="L14" s="386">
        <f t="shared" si="2"/>
        <v>0</v>
      </c>
      <c r="M14" s="387">
        <f t="shared" si="1"/>
        <v>700000</v>
      </c>
      <c r="N14" s="387">
        <f t="shared" si="3"/>
        <v>700000</v>
      </c>
      <c r="O14" s="387">
        <f t="shared" si="5"/>
        <v>0</v>
      </c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/>
      <c r="AN14"/>
      <c r="AO14"/>
    </row>
    <row r="15" spans="1:41" ht="15">
      <c r="A15" s="384" t="str">
        <f>'Chinook Financial'!A54</f>
        <v xml:space="preserve">Design </v>
      </c>
      <c r="B15" s="490">
        <f>'Chinook Financial'!C54</f>
        <v>1612243.92</v>
      </c>
      <c r="C15" s="386">
        <f t="shared" si="4"/>
        <v>0</v>
      </c>
      <c r="D15" s="386">
        <f t="shared" si="2"/>
        <v>80612.195999999996</v>
      </c>
      <c r="E15" s="386">
        <f t="shared" si="2"/>
        <v>241836.58799999999</v>
      </c>
      <c r="F15" s="386">
        <f t="shared" si="2"/>
        <v>241836.58799999999</v>
      </c>
      <c r="G15" s="386">
        <f t="shared" si="2"/>
        <v>241836.58799999999</v>
      </c>
      <c r="H15" s="386">
        <f t="shared" si="2"/>
        <v>161224.39199999999</v>
      </c>
      <c r="I15" s="386">
        <f t="shared" si="2"/>
        <v>161224.39199999999</v>
      </c>
      <c r="J15" s="386">
        <f t="shared" si="2"/>
        <v>241836.58799999999</v>
      </c>
      <c r="K15" s="386">
        <f t="shared" si="2"/>
        <v>241836.58799999999</v>
      </c>
      <c r="L15" s="386">
        <f t="shared" si="2"/>
        <v>0</v>
      </c>
      <c r="M15" s="387">
        <f t="shared" si="1"/>
        <v>1612243.92</v>
      </c>
      <c r="N15" s="387">
        <f t="shared" si="3"/>
        <v>1612243.92</v>
      </c>
      <c r="O15" s="387">
        <f t="shared" si="5"/>
        <v>0</v>
      </c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403"/>
      <c r="AI15" s="403"/>
      <c r="AJ15" s="403"/>
      <c r="AK15" s="403"/>
      <c r="AL15" s="403"/>
      <c r="AM15"/>
      <c r="AN15"/>
      <c r="AO15"/>
    </row>
    <row r="16" spans="1:41" ht="15">
      <c r="A16" s="384" t="str">
        <f>'Chinook Financial'!A55</f>
        <v>Developer Fee</v>
      </c>
      <c r="B16" s="490">
        <f>'Chinook Financial'!C55</f>
        <v>4149993.2375999996</v>
      </c>
      <c r="C16" s="386">
        <f t="shared" si="4"/>
        <v>0</v>
      </c>
      <c r="D16" s="386">
        <f t="shared" si="2"/>
        <v>207499.66188</v>
      </c>
      <c r="E16" s="386">
        <f t="shared" si="2"/>
        <v>622498.98563999997</v>
      </c>
      <c r="F16" s="386">
        <f t="shared" si="2"/>
        <v>622498.98563999997</v>
      </c>
      <c r="G16" s="386">
        <f t="shared" si="2"/>
        <v>622498.98563999997</v>
      </c>
      <c r="H16" s="386">
        <f t="shared" si="2"/>
        <v>414999.32376</v>
      </c>
      <c r="I16" s="386">
        <f t="shared" si="2"/>
        <v>414999.32376</v>
      </c>
      <c r="J16" s="386">
        <f t="shared" si="2"/>
        <v>622498.98563999997</v>
      </c>
      <c r="K16" s="386">
        <f t="shared" si="2"/>
        <v>622498.98563999997</v>
      </c>
      <c r="L16" s="386">
        <f t="shared" si="2"/>
        <v>0</v>
      </c>
      <c r="M16" s="387">
        <f t="shared" si="1"/>
        <v>4149993.2376000001</v>
      </c>
      <c r="N16" s="387">
        <f t="shared" si="3"/>
        <v>4149993.2375999996</v>
      </c>
      <c r="O16" s="387">
        <f t="shared" si="5"/>
        <v>0</v>
      </c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406"/>
      <c r="AK16" s="406"/>
      <c r="AL16" s="406"/>
      <c r="AM16"/>
      <c r="AN16"/>
      <c r="AO16"/>
    </row>
    <row r="17" spans="1:41" ht="15">
      <c r="A17" s="384" t="str">
        <f>'Chinook Financial'!A56</f>
        <v>Construction Management Fee</v>
      </c>
      <c r="B17" s="490">
        <f>'Chinook Financial'!C56</f>
        <v>1074829.28</v>
      </c>
      <c r="C17" s="386">
        <f t="shared" si="4"/>
        <v>0</v>
      </c>
      <c r="D17" s="386">
        <f t="shared" si="2"/>
        <v>53741.464000000007</v>
      </c>
      <c r="E17" s="386">
        <f t="shared" si="2"/>
        <v>161224.39199999999</v>
      </c>
      <c r="F17" s="386">
        <f t="shared" si="2"/>
        <v>161224.39199999999</v>
      </c>
      <c r="G17" s="386">
        <f t="shared" si="2"/>
        <v>161224.39199999999</v>
      </c>
      <c r="H17" s="386">
        <f t="shared" si="2"/>
        <v>107482.92800000001</v>
      </c>
      <c r="I17" s="386">
        <f t="shared" si="2"/>
        <v>107482.92800000001</v>
      </c>
      <c r="J17" s="386">
        <f t="shared" si="2"/>
        <v>161224.39199999999</v>
      </c>
      <c r="K17" s="386">
        <f t="shared" si="2"/>
        <v>161224.39199999999</v>
      </c>
      <c r="L17" s="386">
        <f t="shared" si="2"/>
        <v>0</v>
      </c>
      <c r="M17" s="387">
        <f t="shared" si="1"/>
        <v>1074829.28</v>
      </c>
      <c r="N17" s="387">
        <f t="shared" si="3"/>
        <v>1074829.28</v>
      </c>
      <c r="O17" s="387">
        <f t="shared" si="5"/>
        <v>0</v>
      </c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/>
      <c r="AN17"/>
      <c r="AO17"/>
    </row>
    <row r="18" spans="1:41" ht="15">
      <c r="A18" s="384" t="str">
        <f>'Chinook Financial'!A57</f>
        <v>Taxes</v>
      </c>
      <c r="B18" s="490">
        <f>'Chinook Financial'!C57</f>
        <v>1236200</v>
      </c>
      <c r="C18" s="386">
        <f t="shared" si="4"/>
        <v>0</v>
      </c>
      <c r="D18" s="386">
        <f t="shared" si="2"/>
        <v>61810</v>
      </c>
      <c r="E18" s="386">
        <f t="shared" si="2"/>
        <v>185430</v>
      </c>
      <c r="F18" s="386">
        <f t="shared" si="2"/>
        <v>185430</v>
      </c>
      <c r="G18" s="386">
        <f t="shared" si="2"/>
        <v>185430</v>
      </c>
      <c r="H18" s="386">
        <f t="shared" si="2"/>
        <v>123620</v>
      </c>
      <c r="I18" s="386">
        <f t="shared" si="2"/>
        <v>123620</v>
      </c>
      <c r="J18" s="386">
        <f t="shared" si="2"/>
        <v>185430</v>
      </c>
      <c r="K18" s="386">
        <f t="shared" si="2"/>
        <v>185430</v>
      </c>
      <c r="L18" s="386">
        <f t="shared" si="2"/>
        <v>0</v>
      </c>
      <c r="M18" s="387">
        <f t="shared" si="1"/>
        <v>1236200</v>
      </c>
      <c r="N18" s="387">
        <f t="shared" si="3"/>
        <v>1236200</v>
      </c>
      <c r="O18" s="387">
        <f t="shared" si="5"/>
        <v>0</v>
      </c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  <c r="AE18" s="406"/>
      <c r="AF18" s="406"/>
      <c r="AG18" s="406"/>
      <c r="AH18" s="406"/>
      <c r="AI18" s="406"/>
      <c r="AJ18" s="406"/>
      <c r="AK18" s="406"/>
      <c r="AL18" s="406"/>
      <c r="AM18"/>
      <c r="AN18"/>
      <c r="AO18"/>
    </row>
    <row r="19" spans="1:41" ht="15">
      <c r="A19" s="384" t="str">
        <f>'Chinook Financial'!A58</f>
        <v>Insurance</v>
      </c>
      <c r="B19" s="490">
        <f>'Chinook Financial'!C58</f>
        <v>638360</v>
      </c>
      <c r="C19" s="386">
        <f t="shared" si="4"/>
        <v>0</v>
      </c>
      <c r="D19" s="386">
        <f t="shared" si="2"/>
        <v>31918</v>
      </c>
      <c r="E19" s="386">
        <f t="shared" si="2"/>
        <v>95754</v>
      </c>
      <c r="F19" s="386">
        <f t="shared" si="2"/>
        <v>95754</v>
      </c>
      <c r="G19" s="386">
        <f t="shared" si="2"/>
        <v>95754</v>
      </c>
      <c r="H19" s="386">
        <f t="shared" si="2"/>
        <v>63836</v>
      </c>
      <c r="I19" s="386">
        <f t="shared" si="2"/>
        <v>63836</v>
      </c>
      <c r="J19" s="386">
        <f t="shared" si="2"/>
        <v>95754</v>
      </c>
      <c r="K19" s="386">
        <f t="shared" si="2"/>
        <v>95754</v>
      </c>
      <c r="L19" s="386">
        <f t="shared" si="2"/>
        <v>0</v>
      </c>
      <c r="M19" s="387">
        <f t="shared" si="1"/>
        <v>638360</v>
      </c>
      <c r="N19" s="387">
        <f t="shared" si="3"/>
        <v>638360</v>
      </c>
      <c r="O19" s="387">
        <f t="shared" si="5"/>
        <v>0</v>
      </c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/>
      <c r="AN19"/>
      <c r="AO19"/>
    </row>
    <row r="20" spans="1:41" ht="15">
      <c r="A20" s="384" t="str">
        <f>'Chinook Financial'!A59</f>
        <v>Marketing, FFE and Preleasing</v>
      </c>
      <c r="B20" s="490">
        <f>'Chinook Financial'!C59</f>
        <v>638360</v>
      </c>
      <c r="C20" s="386">
        <f t="shared" si="4"/>
        <v>0</v>
      </c>
      <c r="D20" s="386">
        <f t="shared" si="2"/>
        <v>31918</v>
      </c>
      <c r="E20" s="386">
        <f t="shared" si="2"/>
        <v>95754</v>
      </c>
      <c r="F20" s="386">
        <f t="shared" si="2"/>
        <v>95754</v>
      </c>
      <c r="G20" s="386">
        <f t="shared" si="2"/>
        <v>95754</v>
      </c>
      <c r="H20" s="386">
        <f t="shared" si="2"/>
        <v>63836</v>
      </c>
      <c r="I20" s="386">
        <f t="shared" si="2"/>
        <v>63836</v>
      </c>
      <c r="J20" s="386">
        <f t="shared" si="2"/>
        <v>95754</v>
      </c>
      <c r="K20" s="386">
        <f t="shared" si="2"/>
        <v>95754</v>
      </c>
      <c r="L20" s="386">
        <f t="shared" si="2"/>
        <v>0</v>
      </c>
      <c r="M20" s="387">
        <f t="shared" si="1"/>
        <v>638360</v>
      </c>
      <c r="N20" s="387">
        <f t="shared" si="3"/>
        <v>638360</v>
      </c>
      <c r="O20" s="387">
        <f t="shared" si="5"/>
        <v>0</v>
      </c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/>
      <c r="AN20"/>
      <c r="AO20"/>
    </row>
    <row r="21" spans="1:41" ht="15">
      <c r="A21" s="384" t="str">
        <f>'Chinook Financial'!A60</f>
        <v>Operating Deficit</v>
      </c>
      <c r="B21" s="490">
        <f>'Chinook Financial'!C60</f>
        <v>1106100</v>
      </c>
      <c r="C21" s="386">
        <f t="shared" si="4"/>
        <v>0</v>
      </c>
      <c r="D21" s="386">
        <f t="shared" si="2"/>
        <v>55305</v>
      </c>
      <c r="E21" s="386">
        <f t="shared" si="2"/>
        <v>165915</v>
      </c>
      <c r="F21" s="386">
        <f t="shared" si="2"/>
        <v>165915</v>
      </c>
      <c r="G21" s="386">
        <f t="shared" si="2"/>
        <v>165915</v>
      </c>
      <c r="H21" s="386">
        <f t="shared" si="2"/>
        <v>110610</v>
      </c>
      <c r="I21" s="386">
        <f t="shared" si="2"/>
        <v>110610</v>
      </c>
      <c r="J21" s="386">
        <f t="shared" si="2"/>
        <v>165915</v>
      </c>
      <c r="K21" s="386">
        <f t="shared" si="2"/>
        <v>165915</v>
      </c>
      <c r="L21" s="386">
        <f t="shared" si="2"/>
        <v>0</v>
      </c>
      <c r="M21" s="387">
        <f t="shared" si="1"/>
        <v>1106100</v>
      </c>
      <c r="N21" s="387">
        <f t="shared" si="3"/>
        <v>1106100</v>
      </c>
      <c r="O21" s="387">
        <f t="shared" si="5"/>
        <v>0</v>
      </c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/>
      <c r="AN21"/>
      <c r="AO21"/>
    </row>
    <row r="22" spans="1:41" ht="15">
      <c r="A22" s="384" t="str">
        <f>'Chinook Financial'!A62</f>
        <v>Retail Tenant Improvements</v>
      </c>
      <c r="B22" s="490">
        <f>'Chinook Financial'!C62</f>
        <v>15362500</v>
      </c>
      <c r="C22" s="386">
        <f t="shared" si="4"/>
        <v>0</v>
      </c>
      <c r="D22" s="386">
        <f t="shared" si="4"/>
        <v>768125</v>
      </c>
      <c r="E22" s="386">
        <f t="shared" si="4"/>
        <v>2304375</v>
      </c>
      <c r="F22" s="386">
        <f t="shared" si="4"/>
        <v>2304375</v>
      </c>
      <c r="G22" s="386">
        <f t="shared" si="4"/>
        <v>2304375</v>
      </c>
      <c r="H22" s="386">
        <f t="shared" si="4"/>
        <v>1536250</v>
      </c>
      <c r="I22" s="386">
        <f t="shared" si="4"/>
        <v>1536250</v>
      </c>
      <c r="J22" s="386">
        <f t="shared" si="4"/>
        <v>2304375</v>
      </c>
      <c r="K22" s="386">
        <f t="shared" si="4"/>
        <v>2304375</v>
      </c>
      <c r="L22" s="386">
        <f t="shared" si="4"/>
        <v>0</v>
      </c>
      <c r="M22" s="387">
        <f t="shared" si="1"/>
        <v>15362500</v>
      </c>
      <c r="N22" s="387">
        <f t="shared" si="3"/>
        <v>15362500</v>
      </c>
      <c r="O22" s="387">
        <f t="shared" si="5"/>
        <v>0</v>
      </c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/>
      <c r="AN22"/>
      <c r="AO22"/>
    </row>
    <row r="23" spans="1:41" ht="15">
      <c r="A23" s="384" t="str">
        <f>'Chinook Financial'!A63</f>
        <v>Retail brokerage</v>
      </c>
      <c r="B23" s="490">
        <f>'Chinook Financial'!C63</f>
        <v>2949600</v>
      </c>
      <c r="C23" s="386">
        <f>B23</f>
        <v>2949600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f t="shared" si="4"/>
        <v>0</v>
      </c>
      <c r="M23" s="387">
        <f t="shared" si="1"/>
        <v>2949600</v>
      </c>
      <c r="N23" s="387">
        <f t="shared" si="3"/>
        <v>2949600</v>
      </c>
      <c r="O23" s="387">
        <f t="shared" si="5"/>
        <v>0</v>
      </c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  <c r="AG23" s="406"/>
      <c r="AH23" s="406"/>
      <c r="AI23" s="406"/>
      <c r="AJ23" s="406"/>
      <c r="AK23" s="406"/>
      <c r="AL23" s="406"/>
      <c r="AM23"/>
      <c r="AN23"/>
      <c r="AO23"/>
    </row>
    <row r="24" spans="1:41" ht="15">
      <c r="A24" s="384" t="str">
        <f>'Chinook Financial'!A64</f>
        <v>Construction Loan Origination</v>
      </c>
      <c r="B24" s="490">
        <f>'Chinook Financial'!C64</f>
        <v>1534380</v>
      </c>
      <c r="C24" s="386">
        <f>B24</f>
        <v>1534380</v>
      </c>
      <c r="D24" s="386">
        <v>0</v>
      </c>
      <c r="E24" s="386">
        <v>0</v>
      </c>
      <c r="F24" s="386">
        <v>0</v>
      </c>
      <c r="G24" s="386">
        <v>0</v>
      </c>
      <c r="H24" s="386">
        <v>0</v>
      </c>
      <c r="I24" s="386">
        <v>0</v>
      </c>
      <c r="J24" s="386">
        <v>0</v>
      </c>
      <c r="K24" s="386">
        <v>0</v>
      </c>
      <c r="L24" s="386">
        <f t="shared" si="4"/>
        <v>0</v>
      </c>
      <c r="M24" s="387">
        <f t="shared" si="1"/>
        <v>1534380</v>
      </c>
      <c r="N24" s="387">
        <f t="shared" si="3"/>
        <v>1534380</v>
      </c>
      <c r="O24" s="387">
        <f t="shared" si="5"/>
        <v>0</v>
      </c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  <c r="AJ24" s="406"/>
      <c r="AK24" s="406"/>
      <c r="AL24" s="406"/>
      <c r="AM24"/>
      <c r="AN24"/>
      <c r="AO24"/>
    </row>
    <row r="25" spans="1:41" ht="15">
      <c r="A25" s="384" t="str">
        <f>'Chinook Financial'!A65</f>
        <v>Construction Interest</v>
      </c>
      <c r="B25" s="490">
        <f>'Chinook Financial'!C65</f>
        <v>7163200</v>
      </c>
      <c r="C25" s="386">
        <f t="shared" si="4"/>
        <v>0</v>
      </c>
      <c r="D25" s="386">
        <f t="shared" si="4"/>
        <v>358160</v>
      </c>
      <c r="E25" s="386">
        <f t="shared" si="4"/>
        <v>1074480</v>
      </c>
      <c r="F25" s="386">
        <f t="shared" si="4"/>
        <v>1074480</v>
      </c>
      <c r="G25" s="386">
        <f t="shared" si="4"/>
        <v>1074480</v>
      </c>
      <c r="H25" s="386">
        <f t="shared" si="4"/>
        <v>716320</v>
      </c>
      <c r="I25" s="386">
        <f t="shared" si="4"/>
        <v>716320</v>
      </c>
      <c r="J25" s="386">
        <f t="shared" si="4"/>
        <v>1074480</v>
      </c>
      <c r="K25" s="386">
        <f t="shared" si="4"/>
        <v>1074480</v>
      </c>
      <c r="L25" s="386">
        <f t="shared" si="4"/>
        <v>0</v>
      </c>
      <c r="M25" s="387">
        <f t="shared" si="1"/>
        <v>7163200</v>
      </c>
      <c r="N25" s="387">
        <f t="shared" si="3"/>
        <v>7163200</v>
      </c>
      <c r="O25" s="387">
        <f t="shared" si="5"/>
        <v>0</v>
      </c>
      <c r="P25" s="387"/>
      <c r="Q25" s="387"/>
      <c r="R25" s="387"/>
      <c r="S25" s="387"/>
      <c r="T25" s="387"/>
      <c r="U25" s="387"/>
      <c r="V25" s="387"/>
      <c r="W25" s="387"/>
      <c r="X25" s="387"/>
      <c r="Y25" s="387"/>
      <c r="Z25" s="387"/>
      <c r="AA25" s="387"/>
      <c r="AB25" s="387"/>
      <c r="AC25" s="387"/>
      <c r="AD25" s="387"/>
      <c r="AE25" s="387"/>
      <c r="AF25" s="387"/>
      <c r="AG25" s="387"/>
      <c r="AH25" s="387"/>
      <c r="AI25" s="387"/>
      <c r="AJ25" s="387"/>
      <c r="AK25" s="387"/>
      <c r="AL25" s="387"/>
      <c r="AM25"/>
      <c r="AN25"/>
      <c r="AO25"/>
    </row>
    <row r="26" spans="1:41" ht="26.25" customHeight="1" thickBot="1">
      <c r="A26" s="509" t="str">
        <f>'Chinook Financial'!A66</f>
        <v>Additional Contingency</v>
      </c>
      <c r="B26" s="400">
        <f>'Chinook Financial'!C66</f>
        <v>1752611.1043759999</v>
      </c>
      <c r="C26" s="399">
        <f t="shared" si="4"/>
        <v>0</v>
      </c>
      <c r="D26" s="399">
        <f t="shared" si="4"/>
        <v>87630.5552188</v>
      </c>
      <c r="E26" s="399">
        <f t="shared" si="4"/>
        <v>262891.66565639997</v>
      </c>
      <c r="F26" s="399">
        <f t="shared" si="4"/>
        <v>262891.66565639997</v>
      </c>
      <c r="G26" s="399">
        <f t="shared" si="4"/>
        <v>262891.66565639997</v>
      </c>
      <c r="H26" s="399">
        <f t="shared" si="4"/>
        <v>175261.1104376</v>
      </c>
      <c r="I26" s="399">
        <f t="shared" si="4"/>
        <v>175261.1104376</v>
      </c>
      <c r="J26" s="399">
        <f t="shared" si="4"/>
        <v>262891.66565639997</v>
      </c>
      <c r="K26" s="399">
        <f t="shared" si="4"/>
        <v>262891.66565639997</v>
      </c>
      <c r="L26" s="399">
        <f t="shared" si="4"/>
        <v>0</v>
      </c>
      <c r="M26" s="400">
        <f t="shared" si="1"/>
        <v>1752611.1043759997</v>
      </c>
      <c r="N26" s="387">
        <f t="shared" si="3"/>
        <v>1752611.1043759999</v>
      </c>
      <c r="O26" s="387">
        <f t="shared" si="5"/>
        <v>0</v>
      </c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  <c r="AA26" s="511"/>
      <c r="AB26" s="511"/>
      <c r="AC26" s="511"/>
      <c r="AD26" s="511"/>
      <c r="AE26" s="511"/>
      <c r="AF26" s="511"/>
      <c r="AG26" s="511"/>
      <c r="AH26" s="511"/>
      <c r="AI26" s="511"/>
      <c r="AJ26" s="511"/>
      <c r="AK26" s="511"/>
      <c r="AL26" s="511"/>
      <c r="AM26"/>
      <c r="AN26"/>
      <c r="AO26"/>
    </row>
    <row r="27" spans="1:41" ht="16.5" thickTop="1" thickBot="1">
      <c r="A27" s="509" t="str">
        <f>'Chinook Financial'!A67</f>
        <v>Total Project Cost</v>
      </c>
      <c r="B27" s="184">
        <f t="shared" ref="B27:L27" si="6">SUM(B6:B26)</f>
        <v>175939241.54197598</v>
      </c>
      <c r="C27" s="149">
        <f t="shared" si="6"/>
        <v>74971260</v>
      </c>
      <c r="D27" s="149">
        <f t="shared" si="6"/>
        <v>5048399.0770988008</v>
      </c>
      <c r="E27" s="149">
        <f t="shared" si="6"/>
        <v>15145197.2312964</v>
      </c>
      <c r="F27" s="149">
        <f t="shared" si="6"/>
        <v>15145197.2312964</v>
      </c>
      <c r="G27" s="149">
        <f t="shared" si="6"/>
        <v>15145197.2312964</v>
      </c>
      <c r="H27" s="149">
        <f t="shared" si="6"/>
        <v>10096798.154197602</v>
      </c>
      <c r="I27" s="149">
        <f t="shared" si="6"/>
        <v>10096798.154197602</v>
      </c>
      <c r="J27" s="149">
        <f t="shared" si="6"/>
        <v>15145197.2312964</v>
      </c>
      <c r="K27" s="149">
        <f t="shared" si="6"/>
        <v>15145197.2312964</v>
      </c>
      <c r="L27" s="149">
        <f t="shared" si="6"/>
        <v>0</v>
      </c>
      <c r="M27" s="146">
        <f>SUM(M6:M26)</f>
        <v>175939241.54197598</v>
      </c>
      <c r="N27" s="145">
        <f>SUM(N6:N26)</f>
        <v>175939241.54197598</v>
      </c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/>
      <c r="AN27"/>
      <c r="AO27"/>
    </row>
    <row r="28" spans="1:41" ht="15.75" thickTop="1">
      <c r="A28" s="147" t="s">
        <v>261</v>
      </c>
      <c r="B28" s="175">
        <f>IF('Chinook Financial'!B75&lt;0,'Chinook Financial'!B75,0)</f>
        <v>0</v>
      </c>
      <c r="C28" s="492"/>
      <c r="D28" s="414"/>
      <c r="E28" s="414"/>
      <c r="F28" s="414"/>
      <c r="G28" s="414"/>
      <c r="H28" s="414"/>
      <c r="I28" s="414"/>
      <c r="J28" s="414"/>
      <c r="K28" s="414"/>
      <c r="L28" s="414"/>
      <c r="M28" s="492"/>
      <c r="N28" s="492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/>
      <c r="AN28"/>
      <c r="AO28"/>
    </row>
    <row r="29" spans="1:41" ht="15.75" thickBot="1">
      <c r="A29" s="401" t="s">
        <v>262</v>
      </c>
      <c r="B29" s="491">
        <f>B27+B28</f>
        <v>175939241.54197598</v>
      </c>
      <c r="C29" s="185"/>
      <c r="D29" s="512"/>
      <c r="E29" s="512"/>
      <c r="F29" s="512"/>
      <c r="G29" s="512"/>
      <c r="H29" s="512"/>
      <c r="I29" s="512"/>
      <c r="J29" s="512"/>
      <c r="K29" s="512"/>
      <c r="L29" s="512"/>
      <c r="M29" s="492"/>
      <c r="N29" s="492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/>
      <c r="AN29"/>
      <c r="AO29"/>
    </row>
    <row r="30" spans="1:41" ht="15">
      <c r="A30" s="152" t="s">
        <v>263</v>
      </c>
      <c r="B30" s="186">
        <f>SUM(C30:L30)</f>
        <v>88506860.770987988</v>
      </c>
      <c r="C30" s="187">
        <f>C27</f>
        <v>74971260</v>
      </c>
      <c r="D30" s="187">
        <f t="shared" ref="D30:L30" si="7">IF(C31+D27&lt;=$B$31,D27,($B$31-C31))</f>
        <v>5048399.0770988008</v>
      </c>
      <c r="E30" s="187">
        <f t="shared" si="7"/>
        <v>8487201.6938891858</v>
      </c>
      <c r="F30" s="187">
        <f t="shared" si="7"/>
        <v>0</v>
      </c>
      <c r="G30" s="187">
        <f t="shared" si="7"/>
        <v>0</v>
      </c>
      <c r="H30" s="187">
        <f t="shared" si="7"/>
        <v>0</v>
      </c>
      <c r="I30" s="187">
        <f t="shared" si="7"/>
        <v>0</v>
      </c>
      <c r="J30" s="187">
        <f t="shared" si="7"/>
        <v>0</v>
      </c>
      <c r="K30" s="187">
        <f t="shared" si="7"/>
        <v>0</v>
      </c>
      <c r="L30" s="187">
        <f t="shared" si="7"/>
        <v>0</v>
      </c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/>
      <c r="AN30"/>
      <c r="AO30"/>
    </row>
    <row r="31" spans="1:41" ht="15.75" thickBot="1">
      <c r="A31" s="409" t="s">
        <v>264</v>
      </c>
      <c r="B31" s="513">
        <f>'Chinook Financial'!B78</f>
        <v>88506860.770987988</v>
      </c>
      <c r="C31" s="514">
        <f>C30</f>
        <v>74971260</v>
      </c>
      <c r="D31" s="514">
        <f>IF(SUM($C$30:D30)&lt;=$B31,SUM($C$30:D30),0)</f>
        <v>80019659.077098802</v>
      </c>
      <c r="E31" s="514">
        <f>IF(SUM($C$30:E30)&lt;=$B31,SUM($C$30:E30),0)</f>
        <v>88506860.770987988</v>
      </c>
      <c r="F31" s="514">
        <f>IF(SUM($C$30:F30)&lt;=$B31,SUM($C$30:F30),0)</f>
        <v>88506860.770987988</v>
      </c>
      <c r="G31" s="514">
        <f>IF(SUM($C$30:G30)&lt;=$B31,SUM($C$30:G30),0)</f>
        <v>88506860.770987988</v>
      </c>
      <c r="H31" s="514">
        <f>IF(SUM($C$30:H30)&lt;=$B31,SUM($C$30:H30),0)</f>
        <v>88506860.770987988</v>
      </c>
      <c r="I31" s="514">
        <f>IF(SUM($C$30:I30)&lt;=$B31,SUM($C$30:I30),0)</f>
        <v>88506860.770987988</v>
      </c>
      <c r="J31" s="514">
        <f>IF(SUM($C$30:J30)&lt;=$B31,SUM($C$30:J30),0)</f>
        <v>88506860.770987988</v>
      </c>
      <c r="K31" s="514">
        <f>IF(SUM($C$30:K30)&lt;=$B31,SUM($C$30:K30),0)</f>
        <v>88506860.770987988</v>
      </c>
      <c r="L31" s="514">
        <f>IF(SUM($C$30:L30)&lt;=$B31,SUM($C$30:L30),0)</f>
        <v>88506860.770987988</v>
      </c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/>
      <c r="AN31"/>
      <c r="AO31"/>
    </row>
    <row r="32" spans="1:41" ht="15">
      <c r="A32" s="183" t="s">
        <v>305</v>
      </c>
      <c r="B32" s="188">
        <f>'Chinook Financial'!B77</f>
        <v>88506860.770987988</v>
      </c>
      <c r="C32" s="189"/>
      <c r="D32" s="190"/>
      <c r="E32" s="190"/>
      <c r="F32" s="190"/>
      <c r="G32" s="190"/>
      <c r="H32" s="190"/>
      <c r="I32" s="190"/>
      <c r="J32" s="190"/>
      <c r="K32" s="190"/>
      <c r="L32" s="190"/>
      <c r="M32" s="407"/>
      <c r="N32" s="407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/>
      <c r="AN32"/>
      <c r="AO32"/>
    </row>
    <row r="33" spans="1:41" ht="15.75" thickBot="1">
      <c r="A33" s="409" t="s">
        <v>306</v>
      </c>
      <c r="B33" s="410">
        <f>PMT(0.045,30,(B32))</f>
        <v>-5433572.7407269888</v>
      </c>
      <c r="C33" s="407"/>
      <c r="D33" s="408"/>
      <c r="E33" s="408"/>
      <c r="F33" s="408"/>
      <c r="G33" s="408"/>
      <c r="H33" s="408"/>
      <c r="I33" s="408"/>
      <c r="J33" s="408"/>
      <c r="K33" s="408"/>
      <c r="L33" s="408"/>
      <c r="M33" s="407"/>
      <c r="N33" s="407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/>
      <c r="AN33"/>
      <c r="AO33"/>
    </row>
    <row r="34" spans="1:41" ht="15">
      <c r="A34" s="154" t="s">
        <v>267</v>
      </c>
      <c r="B34" s="155">
        <f>SUM(C34:M34)</f>
        <v>0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412"/>
      <c r="N34" s="407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/>
      <c r="AN34"/>
      <c r="AO34"/>
    </row>
    <row r="35" spans="1:41" ht="15">
      <c r="A35" s="411" t="s">
        <v>268</v>
      </c>
      <c r="B35" s="1111"/>
      <c r="C35" s="408"/>
      <c r="D35" s="408"/>
      <c r="E35" s="408"/>
      <c r="F35" s="408"/>
      <c r="G35" s="408"/>
      <c r="H35" s="408"/>
      <c r="I35" s="408"/>
      <c r="J35" s="408"/>
      <c r="K35" s="408"/>
      <c r="L35" s="408"/>
      <c r="M35" s="412"/>
      <c r="N35" s="408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/>
      <c r="AN35"/>
      <c r="AO35"/>
    </row>
    <row r="36" spans="1:41" ht="15">
      <c r="A36" s="404" t="s">
        <v>269</v>
      </c>
      <c r="B36" s="405">
        <f>'Chinook Financial'!B85-'Chinook Draw'!B32</f>
        <v>178066339.22901201</v>
      </c>
      <c r="C36" s="412"/>
      <c r="D36" s="413"/>
      <c r="E36" s="413"/>
      <c r="F36" s="413"/>
      <c r="G36" s="413"/>
      <c r="H36" s="413"/>
      <c r="I36" s="413"/>
      <c r="J36" s="413"/>
      <c r="K36" s="413"/>
      <c r="L36" s="413"/>
      <c r="M36" s="414"/>
      <c r="N36" s="415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  <c r="AB36" s="416"/>
      <c r="AC36" s="416"/>
      <c r="AD36" s="416"/>
      <c r="AE36" s="416"/>
      <c r="AF36" s="416"/>
      <c r="AG36" s="416"/>
      <c r="AH36" s="416"/>
      <c r="AI36" s="416"/>
      <c r="AJ36" s="416"/>
      <c r="AK36" s="416"/>
      <c r="AL36" s="416"/>
      <c r="AM36"/>
      <c r="AN36"/>
      <c r="AO36"/>
    </row>
    <row r="37" spans="1:41" ht="15">
      <c r="A37" s="404" t="s">
        <v>270</v>
      </c>
      <c r="B37" s="233">
        <f>SUM(C37:L37)</f>
        <v>89559478.458024025</v>
      </c>
      <c r="C37" s="417">
        <f t="shared" ref="C37:K37" si="8">-C30</f>
        <v>-74971260</v>
      </c>
      <c r="D37" s="417">
        <f t="shared" si="8"/>
        <v>-5048399.0770988008</v>
      </c>
      <c r="E37" s="417">
        <f t="shared" si="8"/>
        <v>-8487201.6938891858</v>
      </c>
      <c r="F37" s="417">
        <f t="shared" si="8"/>
        <v>0</v>
      </c>
      <c r="G37" s="417">
        <f t="shared" si="8"/>
        <v>0</v>
      </c>
      <c r="H37" s="417">
        <f t="shared" si="8"/>
        <v>0</v>
      </c>
      <c r="I37" s="417">
        <f t="shared" si="8"/>
        <v>0</v>
      </c>
      <c r="J37" s="417">
        <f t="shared" si="8"/>
        <v>0</v>
      </c>
      <c r="K37" s="417">
        <f t="shared" si="8"/>
        <v>0</v>
      </c>
      <c r="L37" s="418">
        <f>B36</f>
        <v>178066339.22901201</v>
      </c>
      <c r="M37" s="394"/>
      <c r="N37" s="387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/>
      <c r="AN37"/>
      <c r="AO37"/>
    </row>
    <row r="38" spans="1:41" ht="15">
      <c r="A38" s="404" t="s">
        <v>298</v>
      </c>
      <c r="B38" s="231">
        <f>IF(B37&lt;0,0,IRR(C37:L37))</f>
        <v>8.3017430850549578E-2</v>
      </c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14"/>
      <c r="N38" s="420"/>
      <c r="O38" s="497"/>
      <c r="P38" s="497"/>
      <c r="Q38" s="497"/>
      <c r="R38" s="497"/>
      <c r="S38" s="497"/>
      <c r="T38" s="497"/>
      <c r="U38" s="497"/>
      <c r="V38" s="497"/>
      <c r="W38" s="497"/>
      <c r="X38" s="497"/>
      <c r="Y38" s="497"/>
      <c r="Z38" s="497"/>
      <c r="AA38" s="497"/>
      <c r="AB38" s="497"/>
      <c r="AC38" s="497"/>
      <c r="AD38" s="497"/>
      <c r="AE38" s="497"/>
      <c r="AF38" s="497"/>
      <c r="AG38" s="497"/>
      <c r="AH38" s="497"/>
      <c r="AI38" s="497"/>
      <c r="AJ38" s="497"/>
      <c r="AK38" s="497"/>
      <c r="AL38" s="497"/>
      <c r="AM38"/>
      <c r="AN38"/>
      <c r="AO38"/>
    </row>
    <row r="39" spans="1:41">
      <c r="A39" s="394" t="s">
        <v>272</v>
      </c>
      <c r="B39" s="232">
        <f>POWER((1+B38),4)-1</f>
        <v>0.37575717382904195</v>
      </c>
      <c r="C39" s="414"/>
      <c r="D39" s="414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</row>
    <row r="40" spans="1:41">
      <c r="A40" s="426" t="s">
        <v>273</v>
      </c>
      <c r="B40" s="515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</row>
    <row r="41" spans="1:41">
      <c r="A41" s="404" t="s">
        <v>274</v>
      </c>
      <c r="B41" s="258">
        <f>'Chinook Financial'!B85-B28</f>
        <v>266573200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</row>
    <row r="42" spans="1:41">
      <c r="A42" s="394" t="s">
        <v>275</v>
      </c>
      <c r="B42" s="516">
        <f>SUM(C42:L42)</f>
        <v>90633958.458023995</v>
      </c>
      <c r="C42" s="387">
        <f>-C27</f>
        <v>-74971260</v>
      </c>
      <c r="D42" s="387">
        <f t="shared" ref="D42:K42" si="9">-D27</f>
        <v>-5048399.0770988008</v>
      </c>
      <c r="E42" s="387">
        <f t="shared" si="9"/>
        <v>-15145197.2312964</v>
      </c>
      <c r="F42" s="387">
        <f t="shared" si="9"/>
        <v>-15145197.2312964</v>
      </c>
      <c r="G42" s="387">
        <f t="shared" si="9"/>
        <v>-15145197.2312964</v>
      </c>
      <c r="H42" s="387">
        <f t="shared" si="9"/>
        <v>-10096798.154197602</v>
      </c>
      <c r="I42" s="387">
        <f t="shared" si="9"/>
        <v>-10096798.154197602</v>
      </c>
      <c r="J42" s="387">
        <f t="shared" si="9"/>
        <v>-15145197.2312964</v>
      </c>
      <c r="K42" s="387">
        <f t="shared" si="9"/>
        <v>-15145197.2312964</v>
      </c>
      <c r="L42" s="421">
        <f>-L27+B41</f>
        <v>266573200</v>
      </c>
      <c r="M42" s="394"/>
      <c r="N42" s="394"/>
    </row>
    <row r="43" spans="1:41">
      <c r="A43" s="404" t="s">
        <v>276</v>
      </c>
      <c r="B43" s="231">
        <f>IF(B42&lt;0,0,IRR(C42:L42))</f>
        <v>6.570869430003734E-2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</row>
    <row r="44" spans="1:41">
      <c r="A44" s="394" t="s">
        <v>277</v>
      </c>
      <c r="B44" s="232">
        <f>POWER((1+B43),4)-1</f>
        <v>0.28989403816821424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</row>
    <row r="45" spans="1:41">
      <c r="G45" s="21"/>
    </row>
    <row r="46" spans="1:41">
      <c r="G46" s="21"/>
    </row>
    <row r="47" spans="1:41">
      <c r="G47" s="21"/>
    </row>
    <row r="48" spans="1:41">
      <c r="G48" s="21"/>
    </row>
    <row r="49" spans="7:7">
      <c r="G49" s="21"/>
    </row>
    <row r="50" spans="7:7">
      <c r="G50" s="21"/>
    </row>
    <row r="51" spans="7:7">
      <c r="G51" s="21"/>
    </row>
    <row r="52" spans="7:7">
      <c r="G52" s="21"/>
    </row>
    <row r="53" spans="7:7">
      <c r="G53" s="21"/>
    </row>
    <row r="54" spans="7:7">
      <c r="G54" s="21"/>
    </row>
    <row r="55" spans="7:7">
      <c r="G55" s="21"/>
    </row>
    <row r="56" spans="7:7">
      <c r="G56" s="21"/>
    </row>
    <row r="57" spans="7:7">
      <c r="G57" s="21"/>
    </row>
    <row r="58" spans="7:7">
      <c r="G58" s="21"/>
    </row>
    <row r="59" spans="7:7">
      <c r="G59" s="21"/>
    </row>
    <row r="60" spans="7:7">
      <c r="G60" s="21"/>
    </row>
    <row r="61" spans="7:7">
      <c r="G61" s="21"/>
    </row>
    <row r="62" spans="7:7">
      <c r="G62" s="21"/>
    </row>
    <row r="63" spans="7:7">
      <c r="G63" s="21"/>
    </row>
    <row r="64" spans="7: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</sheetData>
  <mergeCells count="2">
    <mergeCell ref="A1:A4"/>
    <mergeCell ref="M2:O2"/>
  </mergeCells>
  <conditionalFormatting sqref="D4:L4">
    <cfRule type="cellIs" dxfId="67" priority="1" operator="equal">
      <formula>#REF!</formula>
    </cfRule>
    <cfRule type="cellIs" dxfId="66" priority="2" operator="equal">
      <formula>#REF!</formula>
    </cfRule>
    <cfRule type="cellIs" dxfId="65" priority="3" operator="equal">
      <formula>#REF!</formula>
    </cfRule>
    <cfRule type="cellIs" dxfId="64" priority="4" operator="equal">
      <formula>#REF!</formula>
    </cfRule>
  </conditionalFormatting>
  <conditionalFormatting sqref="G4:AL4">
    <cfRule type="cellIs" dxfId="63" priority="13" operator="equal">
      <formula>#REF!</formula>
    </cfRule>
    <cfRule type="cellIs" dxfId="62" priority="14" operator="equal">
      <formula>#REF!</formula>
    </cfRule>
    <cfRule type="cellIs" dxfId="61" priority="15" operator="equal">
      <formula>#REF!</formula>
    </cfRule>
    <cfRule type="cellIs" dxfId="60" priority="16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D766B-0F40-4AB1-97EC-2B7CDC9E21ED}">
  <sheetPr>
    <tabColor theme="6" tint="-0.249977111117893"/>
  </sheetPr>
  <dimension ref="A1:O98"/>
  <sheetViews>
    <sheetView workbookViewId="0">
      <selection activeCell="A42" sqref="A42:A66"/>
    </sheetView>
  </sheetViews>
  <sheetFormatPr defaultColWidth="8.85546875" defaultRowHeight="23.25" customHeight="1"/>
  <cols>
    <col min="1" max="1" width="40.28515625" style="21" customWidth="1"/>
    <col min="2" max="2" width="22.85546875" style="21" bestFit="1" customWidth="1"/>
    <col min="3" max="3" width="22.42578125" style="21" bestFit="1" customWidth="1"/>
    <col min="4" max="4" width="13.140625" style="21" customWidth="1"/>
    <col min="5" max="5" width="21.42578125" style="21" customWidth="1"/>
    <col min="6" max="6" width="26.140625" style="21" customWidth="1"/>
    <col min="7" max="7" width="13.140625" style="644" bestFit="1" customWidth="1"/>
    <col min="8" max="8" width="24.5703125" style="21" customWidth="1"/>
    <col min="9" max="9" width="32.42578125" style="21" customWidth="1"/>
    <col min="10" max="10" width="20.140625" style="21" customWidth="1"/>
    <col min="11" max="14" width="8.85546875" style="21"/>
    <col min="15" max="15" width="21.42578125" style="644" customWidth="1"/>
    <col min="16" max="16384" width="8.85546875" style="21"/>
  </cols>
  <sheetData>
    <row r="1" spans="1:15" ht="23.25" customHeight="1" thickBot="1">
      <c r="A1" s="17"/>
      <c r="B1" s="18"/>
      <c r="C1" s="19"/>
      <c r="D1" s="20"/>
    </row>
    <row r="2" spans="1:15" ht="23.25" customHeight="1" thickBot="1">
      <c r="A2" s="1343" t="s">
        <v>168</v>
      </c>
      <c r="B2" s="1344"/>
      <c r="C2" s="1344"/>
      <c r="D2" s="1345" t="str">
        <f>'Development Program'!B27</f>
        <v>4th Street Site</v>
      </c>
      <c r="E2" s="1346"/>
      <c r="G2" s="21"/>
      <c r="O2" s="21"/>
    </row>
    <row r="3" spans="1:15" ht="23.25" customHeight="1" thickBot="1">
      <c r="A3" s="1112"/>
      <c r="B3" s="1113"/>
      <c r="C3" s="1113"/>
      <c r="D3" s="1114">
        <v>0</v>
      </c>
      <c r="E3" s="1115" t="s">
        <v>169</v>
      </c>
      <c r="G3" s="21"/>
      <c r="O3" s="21"/>
    </row>
    <row r="4" spans="1:15" ht="26.25" thickBot="1">
      <c r="A4" s="888" t="s">
        <v>170</v>
      </c>
      <c r="B4" s="889" t="s">
        <v>171</v>
      </c>
      <c r="C4" s="890" t="s">
        <v>172</v>
      </c>
      <c r="D4" s="889" t="s">
        <v>173</v>
      </c>
      <c r="E4" s="891" t="s">
        <v>174</v>
      </c>
      <c r="G4" s="21"/>
      <c r="O4" s="21"/>
    </row>
    <row r="5" spans="1:15" ht="13.5" thickBot="1">
      <c r="A5" s="1116" t="s">
        <v>454</v>
      </c>
      <c r="B5" s="1117">
        <v>115</v>
      </c>
      <c r="C5" s="1118">
        <v>240</v>
      </c>
      <c r="D5" s="1120">
        <v>4.0999999999999996</v>
      </c>
      <c r="E5" s="1119">
        <f>12*B5*C5*D5</f>
        <v>1357919.9999999998</v>
      </c>
      <c r="G5" s="21"/>
      <c r="O5" s="21"/>
    </row>
    <row r="6" spans="1:15" ht="14.25" thickTop="1" thickBot="1">
      <c r="A6" s="27" t="s">
        <v>176</v>
      </c>
      <c r="B6" s="28">
        <f>SUM(B5:B5)</f>
        <v>115</v>
      </c>
      <c r="C6" s="29">
        <f>C5*B5</f>
        <v>27600</v>
      </c>
      <c r="D6" s="1002"/>
      <c r="E6" s="860">
        <f>SUM(E5:E5)</f>
        <v>1357919.9999999998</v>
      </c>
      <c r="G6" s="21"/>
      <c r="O6" s="21"/>
    </row>
    <row r="7" spans="1:15" ht="14.25" thickTop="1" thickBot="1">
      <c r="A7" s="31" t="s">
        <v>177</v>
      </c>
      <c r="B7" s="965"/>
      <c r="C7" s="33">
        <f>C6/B6</f>
        <v>240</v>
      </c>
      <c r="D7" s="34">
        <f>(E6/12)/C6</f>
        <v>4.0999999999999996</v>
      </c>
      <c r="E7" s="964"/>
      <c r="G7" s="21"/>
      <c r="O7" s="21"/>
    </row>
    <row r="8" spans="1:15" ht="12.75">
      <c r="A8" s="36"/>
      <c r="B8" s="37"/>
      <c r="C8" s="38"/>
      <c r="D8" s="39"/>
      <c r="G8" s="21"/>
      <c r="O8" s="21"/>
    </row>
    <row r="9" spans="1:15" ht="12.75">
      <c r="A9" s="24" t="s">
        <v>178</v>
      </c>
      <c r="B9" s="25" t="s">
        <v>179</v>
      </c>
      <c r="C9" s="25" t="s">
        <v>180</v>
      </c>
      <c r="D9" s="25" t="s">
        <v>174</v>
      </c>
      <c r="G9" s="21"/>
      <c r="J9" s="644"/>
      <c r="O9" s="21"/>
    </row>
    <row r="10" spans="1:15" ht="12.75">
      <c r="A10" s="797" t="s">
        <v>435</v>
      </c>
      <c r="B10" s="290">
        <v>10000</v>
      </c>
      <c r="C10" s="282">
        <v>45</v>
      </c>
      <c r="D10" s="533">
        <f>B10*C10</f>
        <v>450000</v>
      </c>
      <c r="G10" s="21"/>
      <c r="J10" s="644"/>
      <c r="O10" s="21"/>
    </row>
    <row r="11" spans="1:15" ht="12.75">
      <c r="A11" s="797" t="s">
        <v>436</v>
      </c>
      <c r="B11" s="290">
        <v>19980</v>
      </c>
      <c r="C11" s="282">
        <v>40</v>
      </c>
      <c r="D11" s="533">
        <f>B11*C11</f>
        <v>799200</v>
      </c>
    </row>
    <row r="12" spans="1:15" ht="12.75">
      <c r="A12" s="289" t="s">
        <v>437</v>
      </c>
      <c r="B12" s="290">
        <v>26400</v>
      </c>
      <c r="C12" s="282">
        <v>35</v>
      </c>
      <c r="D12" s="533">
        <f>B12*C12</f>
        <v>924000</v>
      </c>
      <c r="F12" s="1121"/>
    </row>
    <row r="13" spans="1:15" ht="13.5" thickBot="1">
      <c r="A13" s="292" t="s">
        <v>438</v>
      </c>
      <c r="B13" s="293">
        <v>39600</v>
      </c>
      <c r="C13" s="710">
        <v>22</v>
      </c>
      <c r="D13" s="711">
        <f>B13*C13</f>
        <v>871200</v>
      </c>
    </row>
    <row r="14" spans="1:15" ht="14.25" thickTop="1" thickBot="1">
      <c r="A14" s="40" t="s">
        <v>181</v>
      </c>
      <c r="B14" s="560">
        <f>SUM(B10:B13)</f>
        <v>95980</v>
      </c>
      <c r="C14" s="712">
        <f>IF(B14=0,0,D14/B14)</f>
        <v>31.719108147530736</v>
      </c>
      <c r="D14" s="713">
        <f>SUM(D10:D13)</f>
        <v>3044400</v>
      </c>
      <c r="E14" s="44"/>
    </row>
    <row r="15" spans="1:15" ht="12.75">
      <c r="A15" s="296" t="s">
        <v>182</v>
      </c>
      <c r="B15" s="297" t="str">
        <f>D2</f>
        <v>4th Street Site</v>
      </c>
    </row>
    <row r="16" spans="1:15" ht="12.75">
      <c r="A16" s="256" t="s">
        <v>183</v>
      </c>
      <c r="B16" s="298">
        <v>115</v>
      </c>
      <c r="C16" s="45"/>
      <c r="D16" s="46"/>
    </row>
    <row r="17" spans="1:5" ht="13.5" thickBot="1">
      <c r="A17" s="263" t="s">
        <v>184</v>
      </c>
      <c r="B17" s="298">
        <v>96</v>
      </c>
      <c r="C17" s="45"/>
      <c r="D17" s="46"/>
    </row>
    <row r="18" spans="1:5" ht="14.25" thickTop="1" thickBot="1">
      <c r="A18" s="47" t="s">
        <v>185</v>
      </c>
      <c r="B18" s="48">
        <f>SUM(B16:B17)</f>
        <v>211</v>
      </c>
      <c r="C18" s="45"/>
      <c r="D18" s="46"/>
    </row>
    <row r="19" spans="1:5" ht="12.75">
      <c r="A19" s="299" t="s">
        <v>186</v>
      </c>
      <c r="B19" s="300" t="str">
        <f>D2</f>
        <v>4th Street Site</v>
      </c>
      <c r="C19" s="49"/>
      <c r="D19" s="49"/>
      <c r="E19" s="49"/>
    </row>
    <row r="20" spans="1:5" ht="12.75">
      <c r="A20" s="301" t="s">
        <v>187</v>
      </c>
      <c r="B20" s="302">
        <v>26400</v>
      </c>
      <c r="C20" s="50"/>
      <c r="D20" s="51"/>
      <c r="E20" s="49"/>
    </row>
    <row r="21" spans="1:5" ht="12.75">
      <c r="A21" s="301" t="s">
        <v>188</v>
      </c>
      <c r="B21" s="302">
        <f>C6+B14</f>
        <v>123580</v>
      </c>
      <c r="C21" s="50"/>
      <c r="D21" s="51"/>
      <c r="E21" s="49"/>
    </row>
    <row r="22" spans="1:5" ht="12.75">
      <c r="A22" s="303">
        <v>400</v>
      </c>
      <c r="B22" s="302">
        <f>400*B18</f>
        <v>84400</v>
      </c>
      <c r="C22" s="50"/>
      <c r="D22" s="51"/>
      <c r="E22" s="49"/>
    </row>
    <row r="23" spans="1:5" ht="12.75">
      <c r="A23" s="304">
        <v>0.2</v>
      </c>
      <c r="B23" s="302">
        <f>(1+A23)*(B21+B22)</f>
        <v>249576</v>
      </c>
      <c r="C23" s="50"/>
      <c r="D23" s="51"/>
      <c r="E23" s="49"/>
    </row>
    <row r="24" spans="1:5" ht="13.5" thickBot="1">
      <c r="A24" s="305">
        <f>6</f>
        <v>6</v>
      </c>
      <c r="B24" s="306">
        <f>B23/A24</f>
        <v>41596</v>
      </c>
      <c r="C24" s="50"/>
      <c r="D24" s="51"/>
      <c r="E24" s="49"/>
    </row>
    <row r="25" spans="1:5" ht="15" customHeight="1" thickBot="1">
      <c r="A25" s="1336" t="s">
        <v>189</v>
      </c>
      <c r="B25" s="1337"/>
      <c r="C25" s="1123" t="str">
        <f>D2</f>
        <v>4th Street Site</v>
      </c>
      <c r="D25" s="1124"/>
      <c r="E25" s="49"/>
    </row>
    <row r="26" spans="1:5" ht="13.5" thickBot="1">
      <c r="A26" s="1082" t="s">
        <v>190</v>
      </c>
      <c r="B26" s="1083" t="s">
        <v>191</v>
      </c>
      <c r="C26" s="1083" t="s">
        <v>192</v>
      </c>
      <c r="D26" s="1084" t="s">
        <v>193</v>
      </c>
      <c r="E26" s="49"/>
    </row>
    <row r="27" spans="1:5" ht="12.75">
      <c r="A27" s="310" t="s">
        <v>194</v>
      </c>
      <c r="B27" s="311">
        <f>D27/B6</f>
        <v>11807.999999999998</v>
      </c>
      <c r="C27" s="312">
        <f>D27/C6</f>
        <v>49.199999999999989</v>
      </c>
      <c r="D27" s="52">
        <f>E6</f>
        <v>1357919.9999999998</v>
      </c>
      <c r="E27" s="49"/>
    </row>
    <row r="28" spans="1:5" ht="12.75">
      <c r="A28" s="313">
        <f>B14</f>
        <v>95980</v>
      </c>
      <c r="B28" s="1330" t="s">
        <v>195</v>
      </c>
      <c r="C28" s="1347"/>
      <c r="D28" s="53">
        <f>D14</f>
        <v>3044400</v>
      </c>
      <c r="E28" s="49"/>
    </row>
    <row r="29" spans="1:5" ht="12.75">
      <c r="A29" s="1087"/>
      <c r="B29" s="1332" t="s">
        <v>196</v>
      </c>
      <c r="C29" s="1332"/>
      <c r="D29" s="1088">
        <f>SUM(D27:D28)</f>
        <v>4402320</v>
      </c>
      <c r="E29" s="49"/>
    </row>
    <row r="30" spans="1:5" ht="12.75">
      <c r="A30" s="1062" t="s">
        <v>197</v>
      </c>
      <c r="B30" s="315" t="s">
        <v>198</v>
      </c>
      <c r="C30" s="315" t="s">
        <v>199</v>
      </c>
      <c r="D30" s="1088"/>
      <c r="E30" s="49"/>
    </row>
    <row r="31" spans="1:5" ht="12.75">
      <c r="A31" s="1087" t="s">
        <v>200</v>
      </c>
      <c r="B31" s="331">
        <v>350</v>
      </c>
      <c r="C31" s="318">
        <f>D31/C6</f>
        <v>17.5</v>
      </c>
      <c r="D31" s="1020">
        <f>B31*B16*12</f>
        <v>483000</v>
      </c>
      <c r="E31" s="49"/>
    </row>
    <row r="32" spans="1:5" ht="12.75">
      <c r="A32" s="1087" t="s">
        <v>439</v>
      </c>
      <c r="B32" s="331">
        <v>350</v>
      </c>
      <c r="C32" s="318">
        <f>D32/C7</f>
        <v>1680</v>
      </c>
      <c r="D32" s="1020">
        <f>B32*12*B17</f>
        <v>403200</v>
      </c>
      <c r="E32" s="49"/>
    </row>
    <row r="33" spans="1:5" ht="13.5" thickBot="1">
      <c r="A33" s="54" t="s">
        <v>202</v>
      </c>
      <c r="B33" s="1341"/>
      <c r="C33" s="1342"/>
      <c r="D33" s="55">
        <f>SUM(D31:D32)</f>
        <v>886200</v>
      </c>
      <c r="E33" s="49"/>
    </row>
    <row r="34" spans="1:5" ht="14.25" thickTop="1" thickBot="1">
      <c r="A34" s="196">
        <v>0.05</v>
      </c>
      <c r="B34" s="1348"/>
      <c r="C34" s="1349"/>
      <c r="D34" s="57">
        <f>-A34*D29</f>
        <v>-220116</v>
      </c>
      <c r="E34" s="49"/>
    </row>
    <row r="35" spans="1:5" ht="14.25" thickTop="1" thickBot="1">
      <c r="A35" s="319" t="s">
        <v>203</v>
      </c>
      <c r="B35" s="58">
        <f>D35/B6</f>
        <v>44073.078260869566</v>
      </c>
      <c r="C35" s="320">
        <f>D35/C6</f>
        <v>183.63782608695652</v>
      </c>
      <c r="D35" s="59">
        <f>D29+D33+D34</f>
        <v>5068404</v>
      </c>
      <c r="E35" s="49"/>
    </row>
    <row r="36" spans="1:5" ht="12.75">
      <c r="A36" s="24" t="s">
        <v>204</v>
      </c>
      <c r="B36" s="25" t="s">
        <v>191</v>
      </c>
      <c r="C36" s="25" t="s">
        <v>205</v>
      </c>
      <c r="D36" s="60" t="s">
        <v>193</v>
      </c>
      <c r="E36" s="49"/>
    </row>
    <row r="37" spans="1:5" ht="13.5" thickBot="1">
      <c r="A37" s="1064" t="s">
        <v>206</v>
      </c>
      <c r="B37" s="62">
        <f>D37/B6</f>
        <v>-12632.744347826088</v>
      </c>
      <c r="C37" s="62">
        <f>D37/C6</f>
        <v>-52.636434782608696</v>
      </c>
      <c r="D37" s="1065">
        <f>-0.33*D29</f>
        <v>-1452765.6</v>
      </c>
      <c r="E37" s="49"/>
    </row>
    <row r="38" spans="1:5" ht="13.5" thickBot="1">
      <c r="A38" s="1089" t="s">
        <v>207</v>
      </c>
      <c r="B38" s="1090">
        <f>D38/B6</f>
        <v>31440.333913043476</v>
      </c>
      <c r="C38" s="1091"/>
      <c r="D38" s="1092">
        <f>D35+D37</f>
        <v>3615638.4</v>
      </c>
      <c r="E38" s="49"/>
    </row>
    <row r="39" spans="1:5" ht="13.5" thickBot="1">
      <c r="A39" s="1125" t="s">
        <v>208</v>
      </c>
      <c r="B39" s="63" t="s">
        <v>209</v>
      </c>
      <c r="C39" s="64">
        <v>4.7500000000000001E-2</v>
      </c>
      <c r="D39" s="325">
        <f>D38/C39</f>
        <v>76118703.157894731</v>
      </c>
      <c r="E39" s="49"/>
    </row>
    <row r="40" spans="1:5" ht="13.5" thickBot="1">
      <c r="A40" s="1350" t="s">
        <v>210</v>
      </c>
      <c r="B40" s="1351"/>
      <c r="C40" s="1352" t="str">
        <f>D2</f>
        <v>4th Street Site</v>
      </c>
      <c r="D40" s="1353"/>
    </row>
    <row r="41" spans="1:5" ht="13.5" thickBot="1">
      <c r="A41" s="1126"/>
      <c r="B41" s="890" t="s">
        <v>211</v>
      </c>
      <c r="C41" s="890" t="s">
        <v>212</v>
      </c>
      <c r="D41" s="1127" t="s">
        <v>191</v>
      </c>
    </row>
    <row r="42" spans="1:5" ht="12.75">
      <c r="A42" s="625" t="s">
        <v>455</v>
      </c>
      <c r="B42" s="1122">
        <v>98</v>
      </c>
      <c r="C42" s="1011">
        <f>B42*(C6)</f>
        <v>2704800</v>
      </c>
      <c r="D42" s="329">
        <f>C42/$B$6</f>
        <v>23520</v>
      </c>
    </row>
    <row r="43" spans="1:5" ht="12.75">
      <c r="A43" s="625" t="s">
        <v>456</v>
      </c>
      <c r="B43" s="800">
        <v>236</v>
      </c>
      <c r="C43" s="1011">
        <f>B43*(B11+B10)</f>
        <v>7075280</v>
      </c>
      <c r="D43" s="329">
        <f t="shared" ref="D43:D51" si="0">C43/$B$6</f>
        <v>61524.17391304348</v>
      </c>
    </row>
    <row r="44" spans="1:5" ht="25.5">
      <c r="A44" s="625" t="s">
        <v>457</v>
      </c>
      <c r="B44" s="800">
        <v>236</v>
      </c>
      <c r="C44" s="1011">
        <f>B44*B12</f>
        <v>6230400</v>
      </c>
      <c r="D44" s="329">
        <f t="shared" si="0"/>
        <v>54177.391304347824</v>
      </c>
    </row>
    <row r="45" spans="1:5" ht="12.75">
      <c r="A45" s="625" t="s">
        <v>458</v>
      </c>
      <c r="B45" s="800">
        <v>236</v>
      </c>
      <c r="C45" s="1011">
        <f>B45*B13</f>
        <v>9345600</v>
      </c>
      <c r="D45" s="329">
        <f t="shared" si="0"/>
        <v>81266.086956521744</v>
      </c>
    </row>
    <row r="46" spans="1:5" ht="12.75">
      <c r="A46" s="625" t="s">
        <v>214</v>
      </c>
      <c r="B46" s="795">
        <f>Assumptions!D30</f>
        <v>36000</v>
      </c>
      <c r="C46" s="807">
        <f>B46*B18</f>
        <v>7596000</v>
      </c>
      <c r="D46" s="329">
        <f t="shared" si="0"/>
        <v>66052.173913043473</v>
      </c>
    </row>
    <row r="47" spans="1:5" ht="12.75">
      <c r="A47" s="625" t="s">
        <v>59</v>
      </c>
      <c r="B47" s="796">
        <v>0.1</v>
      </c>
      <c r="C47" s="807">
        <f>B47 *SUM(C42:C45)</f>
        <v>2535608</v>
      </c>
      <c r="D47" s="329">
        <f t="shared" si="0"/>
        <v>22048.765217391305</v>
      </c>
    </row>
    <row r="48" spans="1:5" ht="12.75">
      <c r="A48" s="625" t="s">
        <v>11</v>
      </c>
      <c r="B48" s="1069">
        <v>8</v>
      </c>
      <c r="C48" s="1011">
        <f>18000*B48</f>
        <v>144000</v>
      </c>
      <c r="D48" s="329">
        <f t="shared" si="0"/>
        <v>1252.1739130434783</v>
      </c>
      <c r="E48" s="68"/>
    </row>
    <row r="49" spans="1:7" ht="12.75">
      <c r="A49" s="625" t="s">
        <v>215</v>
      </c>
      <c r="B49" s="1076" t="s">
        <v>216</v>
      </c>
      <c r="C49" s="1011">
        <f>'Market Research'!Y23</f>
        <v>13349000</v>
      </c>
      <c r="D49" s="329">
        <f t="shared" si="0"/>
        <v>116078.26086956522</v>
      </c>
    </row>
    <row r="50" spans="1:7" ht="12.75">
      <c r="A50" s="625" t="s">
        <v>62</v>
      </c>
      <c r="B50" s="801">
        <v>1000</v>
      </c>
      <c r="C50" s="1011">
        <f>B6*B50</f>
        <v>115000</v>
      </c>
      <c r="D50" s="329">
        <f t="shared" si="0"/>
        <v>1000</v>
      </c>
    </row>
    <row r="51" spans="1:7" ht="12.75">
      <c r="A51" s="625" t="s">
        <v>217</v>
      </c>
      <c r="B51" s="802" t="s">
        <v>218</v>
      </c>
      <c r="C51" s="1011">
        <f>'Development Program'!H20</f>
        <v>500000</v>
      </c>
      <c r="D51" s="329">
        <f t="shared" si="0"/>
        <v>4347.826086956522</v>
      </c>
    </row>
    <row r="52" spans="1:7" ht="12.75">
      <c r="A52" s="1192" t="s">
        <v>66</v>
      </c>
      <c r="B52" s="1077" t="s">
        <v>67</v>
      </c>
      <c r="C52" s="807">
        <v>400000</v>
      </c>
      <c r="D52" s="317">
        <f t="shared" ref="D52:D53" si="1">C52/$B$6</f>
        <v>3478.2608695652175</v>
      </c>
    </row>
    <row r="53" spans="1:7" ht="12.75">
      <c r="A53" s="1192" t="s">
        <v>68</v>
      </c>
      <c r="B53" s="803">
        <v>0.01</v>
      </c>
      <c r="C53" s="807">
        <f>B53*C49</f>
        <v>133490</v>
      </c>
      <c r="D53" s="317">
        <f t="shared" si="1"/>
        <v>1160.7826086956522</v>
      </c>
    </row>
    <row r="54" spans="1:7" ht="12.75">
      <c r="A54" s="1192" t="s">
        <v>69</v>
      </c>
      <c r="B54" s="798">
        <v>0.03</v>
      </c>
      <c r="C54" s="807">
        <f>B54*(SUM($C$42:$C$45))</f>
        <v>760682.4</v>
      </c>
      <c r="D54" s="317">
        <f>C54/$B$6</f>
        <v>6614.6295652173912</v>
      </c>
    </row>
    <row r="55" spans="1:7" ht="12.75">
      <c r="A55" s="1192" t="s">
        <v>71</v>
      </c>
      <c r="B55" s="804">
        <v>0.03</v>
      </c>
      <c r="C55" s="807">
        <f>B55*(SUM($C$42:$C$45))</f>
        <v>760682.4</v>
      </c>
      <c r="D55" s="317">
        <f>C55/$B$6</f>
        <v>6614.6295652173912</v>
      </c>
    </row>
    <row r="56" spans="1:7" ht="12.75">
      <c r="A56" s="1192" t="s">
        <v>73</v>
      </c>
      <c r="B56" s="798">
        <v>0.02</v>
      </c>
      <c r="C56" s="807">
        <f>B56*(SUM($C$42:$C$45))</f>
        <v>507121.60000000003</v>
      </c>
      <c r="D56" s="317">
        <f t="shared" ref="D56:D66" si="2">C56/$B$6</f>
        <v>4409.7530434782611</v>
      </c>
    </row>
    <row r="57" spans="1:7" ht="12.75">
      <c r="A57" s="1192" t="s">
        <v>219</v>
      </c>
      <c r="B57" s="798" t="s">
        <v>444</v>
      </c>
      <c r="C57" s="807">
        <f>0.00883*C49*2</f>
        <v>235743.33999999997</v>
      </c>
      <c r="D57" s="317">
        <f t="shared" si="2"/>
        <v>2049.9420869565215</v>
      </c>
    </row>
    <row r="58" spans="1:7" ht="12.75" customHeight="1">
      <c r="A58" s="1192" t="s">
        <v>77</v>
      </c>
      <c r="B58" s="1069">
        <v>5</v>
      </c>
      <c r="C58" s="807">
        <f>B58*B14</f>
        <v>479900</v>
      </c>
      <c r="D58" s="317">
        <f t="shared" si="2"/>
        <v>4173.04347826087</v>
      </c>
      <c r="E58" s="543" t="s">
        <v>222</v>
      </c>
      <c r="F58" s="544"/>
      <c r="G58" s="645">
        <f>B64*B77</f>
        <v>484792.59659999993</v>
      </c>
    </row>
    <row r="59" spans="1:7" ht="12.95" customHeight="1">
      <c r="A59" s="1192" t="s">
        <v>79</v>
      </c>
      <c r="B59" s="1069">
        <v>3</v>
      </c>
      <c r="C59" s="807">
        <f>B59*B14</f>
        <v>287940</v>
      </c>
      <c r="D59" s="317">
        <f t="shared" si="2"/>
        <v>2503.8260869565215</v>
      </c>
      <c r="E59" s="543" t="s">
        <v>222</v>
      </c>
      <c r="F59" s="544"/>
      <c r="G59" s="646">
        <f>B65*B77</f>
        <v>2262365.4508000002</v>
      </c>
    </row>
    <row r="60" spans="1:7" ht="12.95" customHeight="1">
      <c r="A60" s="1192" t="s">
        <v>80</v>
      </c>
      <c r="B60" s="799">
        <v>6</v>
      </c>
      <c r="C60" s="807">
        <f>-B60*D37/12</f>
        <v>726382.80000000016</v>
      </c>
      <c r="D60" s="317">
        <f t="shared" si="2"/>
        <v>6316.3721739130451</v>
      </c>
      <c r="E60" s="544"/>
      <c r="F60" s="544"/>
      <c r="G60" s="646"/>
    </row>
    <row r="61" spans="1:7" ht="12.75">
      <c r="A61" s="1192" t="s">
        <v>296</v>
      </c>
      <c r="B61" s="799" t="s">
        <v>443</v>
      </c>
      <c r="C61" s="807">
        <v>709863</v>
      </c>
      <c r="D61" s="317">
        <f t="shared" si="2"/>
        <v>6172.7217391304348</v>
      </c>
      <c r="E61" s="74"/>
    </row>
    <row r="62" spans="1:7" ht="12.75">
      <c r="A62" s="1192" t="s">
        <v>220</v>
      </c>
      <c r="B62" s="1073">
        <v>75</v>
      </c>
      <c r="C62" s="807">
        <f>B62*B14</f>
        <v>7198500</v>
      </c>
      <c r="D62" s="317">
        <f t="shared" si="2"/>
        <v>62595.65217391304</v>
      </c>
    </row>
    <row r="63" spans="1:7" ht="12.75">
      <c r="A63" s="1192" t="s">
        <v>221</v>
      </c>
      <c r="B63" s="805">
        <v>0.06</v>
      </c>
      <c r="C63" s="807">
        <f>B63*D14*5</f>
        <v>913320</v>
      </c>
      <c r="D63" s="317">
        <f t="shared" si="2"/>
        <v>7941.913043478261</v>
      </c>
    </row>
    <row r="64" spans="1:7" ht="12.75">
      <c r="A64" s="1192" t="s">
        <v>83</v>
      </c>
      <c r="B64" s="806">
        <v>1.4999999999999999E-2</v>
      </c>
      <c r="C64" s="807">
        <v>296016.53999999998</v>
      </c>
      <c r="D64" s="317">
        <f t="shared" si="2"/>
        <v>2574.0568695652173</v>
      </c>
    </row>
    <row r="65" spans="1:5" ht="12.75">
      <c r="A65" s="1193" t="s">
        <v>84</v>
      </c>
      <c r="B65" s="1074">
        <v>7.0000000000000007E-2</v>
      </c>
      <c r="C65" s="807">
        <v>1380122</v>
      </c>
      <c r="D65" s="317">
        <f t="shared" si="2"/>
        <v>12001.060869565217</v>
      </c>
    </row>
    <row r="66" spans="1:5" ht="13.5" thickBot="1">
      <c r="A66" s="1195" t="s">
        <v>223</v>
      </c>
      <c r="B66" s="1075" t="s">
        <v>442</v>
      </c>
      <c r="C66" s="1012">
        <f>C55/3</f>
        <v>253560.80000000002</v>
      </c>
      <c r="D66" s="336">
        <f t="shared" si="2"/>
        <v>2204.8765217391306</v>
      </c>
    </row>
    <row r="67" spans="1:5" ht="14.25" thickTop="1" thickBot="1">
      <c r="A67" s="561" t="s">
        <v>224</v>
      </c>
      <c r="B67" s="562"/>
      <c r="C67" s="808">
        <f>SUM(C42:C66)</f>
        <v>64639012.879999995</v>
      </c>
      <c r="D67" s="72">
        <f>ROUND(C67/$B$6,-3)</f>
        <v>562000</v>
      </c>
    </row>
    <row r="68" spans="1:5" ht="15" customHeight="1">
      <c r="A68" s="339" t="s">
        <v>225</v>
      </c>
      <c r="B68" s="340">
        <f>D38/C67</f>
        <v>5.5935854198644754E-2</v>
      </c>
    </row>
    <row r="69" spans="1:5" ht="12.75">
      <c r="A69" s="341" t="s">
        <v>226</v>
      </c>
      <c r="B69" s="342">
        <f>(D39/C67)-1</f>
        <v>0.17759693049778424</v>
      </c>
      <c r="C69" s="73"/>
      <c r="D69" s="74"/>
    </row>
    <row r="70" spans="1:5" ht="13.5" thickBot="1">
      <c r="A70" s="343">
        <v>20</v>
      </c>
      <c r="B70" s="344">
        <f>(D39/(1+A70))</f>
        <v>3624700.1503759394</v>
      </c>
    </row>
    <row r="71" spans="1:5" ht="13.5" thickBot="1">
      <c r="A71" s="345">
        <v>0.2</v>
      </c>
      <c r="B71" s="344">
        <f>ROUND((D39/(1+A71))-C67,-3)</f>
        <v>-1207000</v>
      </c>
      <c r="C71" s="75" t="s">
        <v>227</v>
      </c>
    </row>
    <row r="72" spans="1:5" ht="13.5" thickBot="1">
      <c r="A72" s="76"/>
      <c r="B72" s="77"/>
    </row>
    <row r="73" spans="1:5" ht="13.5" thickBot="1">
      <c r="A73" s="1354" t="s">
        <v>228</v>
      </c>
      <c r="B73" s="1355"/>
      <c r="C73" s="1130" t="str">
        <f>D2</f>
        <v>4th Street Site</v>
      </c>
    </row>
    <row r="74" spans="1:5" ht="12.75">
      <c r="A74" s="1016"/>
      <c r="B74" s="1014" t="s">
        <v>229</v>
      </c>
      <c r="C74" s="1015" t="s">
        <v>191</v>
      </c>
    </row>
    <row r="75" spans="1:5" ht="12.75">
      <c r="A75" s="1018" t="s">
        <v>230</v>
      </c>
      <c r="B75" s="350">
        <f>IF(B71&lt;0,B71,0)</f>
        <v>-1207000</v>
      </c>
      <c r="C75" s="1131">
        <f>B75/B6</f>
        <v>-10495.652173913044</v>
      </c>
    </row>
    <row r="76" spans="1:5" ht="15" customHeight="1">
      <c r="A76" s="1018" t="s">
        <v>231</v>
      </c>
      <c r="B76" s="350">
        <f>C67+B75</f>
        <v>63432012.879999995</v>
      </c>
      <c r="C76" s="1131">
        <f>B76/B6</f>
        <v>551582.72069565218</v>
      </c>
    </row>
    <row r="77" spans="1:5" ht="12.75">
      <c r="A77" s="1132">
        <v>0.5</v>
      </c>
      <c r="B77" s="1128">
        <f>A77*C$67</f>
        <v>32319506.439999998</v>
      </c>
      <c r="C77" s="1133">
        <f>B77/B6</f>
        <v>281039.18643478258</v>
      </c>
    </row>
    <row r="78" spans="1:5" ht="13.5" thickBot="1">
      <c r="A78" s="351">
        <f>1-A77</f>
        <v>0.5</v>
      </c>
      <c r="B78" s="1129">
        <f>A78*C$67</f>
        <v>32319506.439999998</v>
      </c>
      <c r="C78" s="352">
        <f>B78/B6</f>
        <v>281039.18643478258</v>
      </c>
      <c r="D78" s="74"/>
    </row>
    <row r="79" spans="1:5" ht="13.5" thickTop="1">
      <c r="A79" s="126" t="s">
        <v>232</v>
      </c>
      <c r="B79" s="353">
        <f>B77+B78</f>
        <v>64639012.879999995</v>
      </c>
      <c r="C79" s="235">
        <f>ROUND((C78+C77),-3)</f>
        <v>562000</v>
      </c>
    </row>
    <row r="80" spans="1:5" ht="13.5" thickBot="1">
      <c r="A80" s="354"/>
      <c r="B80" s="212"/>
      <c r="C80" s="355"/>
      <c r="E80" s="85"/>
    </row>
    <row r="81" spans="1:4" ht="13.5" thickBot="1">
      <c r="A81" s="1292" t="s">
        <v>233</v>
      </c>
      <c r="B81" s="1293"/>
      <c r="C81" s="346" t="str">
        <f>D2</f>
        <v>4th Street Site</v>
      </c>
    </row>
    <row r="82" spans="1:4" ht="13.5" thickBot="1">
      <c r="A82" s="83"/>
      <c r="B82" s="356" t="s">
        <v>234</v>
      </c>
      <c r="C82" s="356"/>
    </row>
    <row r="83" spans="1:4" ht="12.75">
      <c r="A83" s="357" t="s">
        <v>235</v>
      </c>
      <c r="B83" s="358">
        <f>D39</f>
        <v>76118703.157894731</v>
      </c>
      <c r="C83" s="359"/>
    </row>
    <row r="84" spans="1:4" ht="13.5" thickBot="1">
      <c r="A84" s="360">
        <v>0.02</v>
      </c>
      <c r="B84" s="361">
        <f>-A84*B83</f>
        <v>-1522374.0631578946</v>
      </c>
      <c r="C84" s="362"/>
    </row>
    <row r="85" spans="1:4" ht="14.25" thickTop="1" thickBot="1">
      <c r="A85" s="363" t="s">
        <v>236</v>
      </c>
      <c r="B85" s="236">
        <f>B83+B84</f>
        <v>74596329.094736829</v>
      </c>
      <c r="C85" s="84"/>
    </row>
    <row r="86" spans="1:4" ht="12.75">
      <c r="A86" s="357" t="s">
        <v>237</v>
      </c>
      <c r="B86" s="358">
        <f>-B77</f>
        <v>-32319506.439999998</v>
      </c>
      <c r="C86" s="359"/>
    </row>
    <row r="87" spans="1:4" ht="13.5" thickBot="1">
      <c r="A87" s="364" t="s">
        <v>238</v>
      </c>
      <c r="B87" s="365">
        <f>-B78</f>
        <v>-32319506.439999998</v>
      </c>
      <c r="C87" s="362"/>
    </row>
    <row r="88" spans="1:4" ht="14.25" thickTop="1" thickBot="1">
      <c r="A88" s="135" t="s">
        <v>239</v>
      </c>
      <c r="B88" s="237">
        <f>ROUND(B85+B86+B87,-2)</f>
        <v>9957300</v>
      </c>
      <c r="C88" s="86"/>
      <c r="D88" s="87"/>
    </row>
    <row r="89" spans="1:4" ht="13.5" thickBot="1">
      <c r="A89" s="1277" t="s">
        <v>240</v>
      </c>
      <c r="B89" s="1278"/>
      <c r="C89" s="1279"/>
    </row>
    <row r="90" spans="1:4" ht="12.75">
      <c r="A90" s="366" t="s">
        <v>241</v>
      </c>
      <c r="B90" s="367">
        <f>ROUND((B83)/B$6,-2)</f>
        <v>661900</v>
      </c>
      <c r="C90" s="367"/>
    </row>
    <row r="91" spans="1:4" ht="13.5" thickBot="1">
      <c r="A91" s="368" t="s">
        <v>242</v>
      </c>
      <c r="B91" s="369">
        <f>ROUND((B85)/B$6,-2)</f>
        <v>648700</v>
      </c>
      <c r="C91" s="369"/>
    </row>
    <row r="92" spans="1:4" ht="13.5" thickBot="1">
      <c r="A92" s="1280" t="s">
        <v>243</v>
      </c>
      <c r="B92" s="1281"/>
      <c r="C92" s="1282"/>
    </row>
    <row r="93" spans="1:4" ht="12.75">
      <c r="A93" s="89"/>
      <c r="B93" s="356" t="s">
        <v>234</v>
      </c>
      <c r="C93" s="356"/>
    </row>
    <row r="94" spans="1:4" ht="12.75">
      <c r="A94" s="370" t="s">
        <v>244</v>
      </c>
      <c r="B94" s="371">
        <f>(B88+B78)/B78</f>
        <v>1.3080894820744051</v>
      </c>
      <c r="C94" s="371"/>
    </row>
    <row r="95" spans="1:4" ht="12.75">
      <c r="A95" s="372" t="s">
        <v>245</v>
      </c>
      <c r="B95" s="165">
        <f>'4th Street Draw'!B43</f>
        <v>0.10556672553552615</v>
      </c>
      <c r="C95" s="165"/>
      <c r="D95" s="90"/>
    </row>
    <row r="96" spans="1:4" ht="12.75">
      <c r="A96" s="372" t="s">
        <v>246</v>
      </c>
      <c r="B96" s="165">
        <f>'4th Street Draw'!B48</f>
        <v>7.1885259118187328E-2</v>
      </c>
      <c r="C96" s="165"/>
      <c r="D96" s="90"/>
    </row>
    <row r="97" spans="1:3" ht="12.75">
      <c r="A97" s="370" t="s">
        <v>247</v>
      </c>
      <c r="B97" s="373">
        <f>D38/B77</f>
        <v>0.11187170839728951</v>
      </c>
      <c r="C97" s="373"/>
    </row>
    <row r="98" spans="1:3" ht="12.75">
      <c r="A98" s="370" t="s">
        <v>248</v>
      </c>
      <c r="B98" s="374">
        <f>C39</f>
        <v>4.7500000000000001E-2</v>
      </c>
      <c r="C98" s="374"/>
    </row>
  </sheetData>
  <mergeCells count="13">
    <mergeCell ref="A81:B81"/>
    <mergeCell ref="A89:C89"/>
    <mergeCell ref="A92:C92"/>
    <mergeCell ref="B34:C34"/>
    <mergeCell ref="A40:B40"/>
    <mergeCell ref="C40:D40"/>
    <mergeCell ref="A73:B73"/>
    <mergeCell ref="B33:C33"/>
    <mergeCell ref="A2:C2"/>
    <mergeCell ref="D2:E2"/>
    <mergeCell ref="A25:B25"/>
    <mergeCell ref="B28:C28"/>
    <mergeCell ref="B29:C29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1097-0A18-4FA0-BE19-CE96BAD87478}">
  <sheetPr>
    <tabColor rgb="FF0070C0"/>
  </sheetPr>
  <dimension ref="A1:AR605"/>
  <sheetViews>
    <sheetView topLeftCell="A18" workbookViewId="0">
      <selection activeCell="C41" sqref="C41"/>
    </sheetView>
  </sheetViews>
  <sheetFormatPr defaultColWidth="8.85546875" defaultRowHeight="15"/>
  <cols>
    <col min="1" max="1" width="39.7109375" style="21" customWidth="1"/>
    <col min="2" max="2" width="18.140625" style="21" customWidth="1"/>
    <col min="3" max="3" width="17.85546875" style="21" customWidth="1"/>
    <col min="4" max="5" width="15.28515625" style="21" bestFit="1" customWidth="1"/>
    <col min="6" max="6" width="16.28515625" style="21" bestFit="1" customWidth="1"/>
    <col min="7" max="7" width="12.140625" style="139" customWidth="1"/>
    <col min="8" max="8" width="18.42578125" style="21" customWidth="1"/>
    <col min="9" max="9" width="18.5703125" style="21" customWidth="1"/>
    <col min="10" max="10" width="12.28515625" style="21" bestFit="1" customWidth="1"/>
    <col min="11" max="12" width="11.7109375" style="21" bestFit="1" customWidth="1"/>
    <col min="13" max="13" width="16" style="21" bestFit="1" customWidth="1"/>
    <col min="14" max="14" width="14.7109375" style="21" bestFit="1" customWidth="1"/>
    <col min="15" max="15" width="13.28515625" style="21" bestFit="1" customWidth="1"/>
    <col min="16" max="16" width="17.5703125" style="21" bestFit="1" customWidth="1"/>
    <col min="17" max="41" width="17" style="21" customWidth="1"/>
    <col min="42" max="42" width="16.5703125" style="21" customWidth="1"/>
    <col min="43" max="43" width="15" customWidth="1"/>
    <col min="44" max="44" width="17.85546875" bestFit="1" customWidth="1"/>
    <col min="45" max="45" width="9.5703125" style="21" bestFit="1" customWidth="1"/>
    <col min="46" max="46" width="11.85546875" style="21" bestFit="1" customWidth="1"/>
    <col min="47" max="48" width="9.5703125" style="21" bestFit="1" customWidth="1"/>
    <col min="49" max="16384" width="8.85546875" style="21"/>
  </cols>
  <sheetData>
    <row r="1" spans="1:42">
      <c r="A1" s="1299" t="str">
        <f>'Development Program'!B27</f>
        <v>4th Street Site</v>
      </c>
      <c r="B1" s="213" t="s">
        <v>249</v>
      </c>
      <c r="C1" s="201" t="s">
        <v>124</v>
      </c>
      <c r="D1" s="201" t="s">
        <v>11</v>
      </c>
      <c r="E1" s="201" t="s">
        <v>125</v>
      </c>
      <c r="F1" s="201" t="s">
        <v>126</v>
      </c>
      <c r="G1" s="74"/>
    </row>
    <row r="2" spans="1:42" ht="41.45" customHeight="1" thickBot="1">
      <c r="A2" s="1283"/>
      <c r="B2" s="375" t="s">
        <v>250</v>
      </c>
      <c r="C2" s="376" t="str">
        <f>'Development Program'!D27</f>
        <v>01/1/28 to 12/31/28</v>
      </c>
      <c r="D2" s="376" t="str">
        <f>'Development Program'!E27</f>
        <v>1/1/29 to 6/30/29</v>
      </c>
      <c r="E2" s="376" t="str">
        <f>'Development Program'!F27</f>
        <v>7/1/29 to 6/30/31</v>
      </c>
      <c r="F2" s="376" t="str">
        <f>'Development Program'!G27</f>
        <v>7/1/31 to 12/31/31</v>
      </c>
      <c r="G2" s="21"/>
      <c r="P2" s="1285"/>
      <c r="Q2" s="1285"/>
      <c r="R2" s="1285"/>
    </row>
    <row r="3" spans="1:42" ht="41.45" customHeight="1">
      <c r="A3" s="1283"/>
      <c r="B3" s="892"/>
      <c r="C3" s="893" t="s">
        <v>459</v>
      </c>
      <c r="D3" s="894" t="s">
        <v>460</v>
      </c>
      <c r="E3" s="762" t="s">
        <v>252</v>
      </c>
      <c r="F3" s="764"/>
      <c r="G3" s="764"/>
      <c r="H3" s="763"/>
      <c r="I3" s="763"/>
      <c r="J3" s="764"/>
      <c r="K3" s="764"/>
      <c r="L3" s="764"/>
      <c r="M3" s="762" t="s">
        <v>253</v>
      </c>
      <c r="N3" s="762" t="s">
        <v>254</v>
      </c>
      <c r="O3" s="762" t="s">
        <v>255</v>
      </c>
      <c r="P3" s="716"/>
      <c r="Q3" s="716"/>
      <c r="R3" s="716"/>
    </row>
    <row r="4" spans="1:42" ht="15.75" thickBot="1">
      <c r="A4" s="1284"/>
      <c r="B4" s="142" t="s">
        <v>122</v>
      </c>
      <c r="C4" s="203">
        <v>47119</v>
      </c>
      <c r="D4" s="204">
        <f>EOMONTH(C4,3)</f>
        <v>47238</v>
      </c>
      <c r="E4" s="204">
        <f t="shared" ref="E4:O4" si="0">EOMONTH(D4,3)</f>
        <v>47330</v>
      </c>
      <c r="F4" s="243">
        <f t="shared" si="0"/>
        <v>47422</v>
      </c>
      <c r="G4" s="246">
        <f t="shared" si="0"/>
        <v>47514</v>
      </c>
      <c r="H4" s="246">
        <f t="shared" si="0"/>
        <v>47603</v>
      </c>
      <c r="I4" s="246">
        <f t="shared" si="0"/>
        <v>47695</v>
      </c>
      <c r="J4" s="246">
        <f t="shared" si="0"/>
        <v>47787</v>
      </c>
      <c r="K4" s="246">
        <f t="shared" si="0"/>
        <v>47879</v>
      </c>
      <c r="L4" s="246">
        <f t="shared" si="0"/>
        <v>47968</v>
      </c>
      <c r="M4" s="246">
        <f t="shared" si="0"/>
        <v>48060</v>
      </c>
      <c r="N4" s="246">
        <f t="shared" si="0"/>
        <v>48152</v>
      </c>
      <c r="O4" s="246">
        <f t="shared" si="0"/>
        <v>48244</v>
      </c>
      <c r="P4" s="378" t="s">
        <v>257</v>
      </c>
      <c r="Q4" s="379" t="s">
        <v>258</v>
      </c>
      <c r="R4" s="378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1:42" ht="15.75" thickBot="1">
      <c r="A5" s="380" t="s">
        <v>259</v>
      </c>
      <c r="B5" s="381">
        <v>1</v>
      </c>
      <c r="C5" s="239">
        <v>0</v>
      </c>
      <c r="D5" s="239">
        <v>0</v>
      </c>
      <c r="E5" s="239">
        <v>0.05</v>
      </c>
      <c r="F5" s="239">
        <v>0.05</v>
      </c>
      <c r="G5" s="238">
        <v>0.05</v>
      </c>
      <c r="H5" s="238">
        <v>0.1</v>
      </c>
      <c r="I5" s="238">
        <v>0.1</v>
      </c>
      <c r="J5" s="238">
        <v>0.2</v>
      </c>
      <c r="K5" s="238">
        <v>0.15</v>
      </c>
      <c r="L5" s="238">
        <v>0.1</v>
      </c>
      <c r="M5" s="238">
        <v>0.1</v>
      </c>
      <c r="N5" s="238">
        <v>0.1</v>
      </c>
      <c r="O5" s="238">
        <v>0</v>
      </c>
      <c r="P5" s="563">
        <f t="shared" ref="P5:P24" si="1">SUM(C5:O5)</f>
        <v>1</v>
      </c>
      <c r="Q5" s="564"/>
      <c r="R5" s="565" t="s">
        <v>260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>
      <c r="A6" s="66" t="str">
        <f>'4th Street Financial '!A42</f>
        <v>Hard Costs for Construction (Renovate SRO)</v>
      </c>
      <c r="B6" s="385">
        <f>'4th Street Financial '!C42</f>
        <v>2704800</v>
      </c>
      <c r="C6" s="386">
        <f>$B6*C$5</f>
        <v>0</v>
      </c>
      <c r="D6" s="386">
        <f t="shared" ref="D6:O21" si="2">$B6*D$5</f>
        <v>0</v>
      </c>
      <c r="E6" s="386">
        <f t="shared" si="2"/>
        <v>135240</v>
      </c>
      <c r="F6" s="386">
        <f t="shared" si="2"/>
        <v>135240</v>
      </c>
      <c r="G6" s="386">
        <f t="shared" si="2"/>
        <v>135240</v>
      </c>
      <c r="H6" s="386">
        <f t="shared" si="2"/>
        <v>270480</v>
      </c>
      <c r="I6" s="386">
        <f t="shared" si="2"/>
        <v>270480</v>
      </c>
      <c r="J6" s="386">
        <f t="shared" si="2"/>
        <v>540960</v>
      </c>
      <c r="K6" s="386">
        <f t="shared" si="2"/>
        <v>405720</v>
      </c>
      <c r="L6" s="386">
        <f t="shared" si="2"/>
        <v>270480</v>
      </c>
      <c r="M6" s="386">
        <f t="shared" si="2"/>
        <v>270480</v>
      </c>
      <c r="N6" s="386">
        <f t="shared" si="2"/>
        <v>270480</v>
      </c>
      <c r="O6" s="386">
        <f t="shared" si="2"/>
        <v>0</v>
      </c>
      <c r="P6" s="387">
        <f t="shared" si="1"/>
        <v>2704800</v>
      </c>
      <c r="Q6" s="387">
        <f t="shared" ref="Q6:Q24" si="3">B6</f>
        <v>2704800</v>
      </c>
      <c r="R6" s="387">
        <f>Q6-P6</f>
        <v>0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</row>
    <row r="7" spans="1:42">
      <c r="A7" s="66" t="str">
        <f>'4th Street Financial '!A43</f>
        <v>Hard Costs for Construction Retail</v>
      </c>
      <c r="B7" s="385">
        <f>'4th Street Financial '!C43</f>
        <v>7075280</v>
      </c>
      <c r="C7" s="386">
        <f t="shared" ref="C7:O30" si="4">$B7*C$5</f>
        <v>0</v>
      </c>
      <c r="D7" s="386">
        <f t="shared" si="2"/>
        <v>0</v>
      </c>
      <c r="E7" s="386">
        <f t="shared" si="2"/>
        <v>353764</v>
      </c>
      <c r="F7" s="386">
        <f t="shared" si="2"/>
        <v>353764</v>
      </c>
      <c r="G7" s="386">
        <f t="shared" si="2"/>
        <v>353764</v>
      </c>
      <c r="H7" s="386">
        <f t="shared" si="2"/>
        <v>707528</v>
      </c>
      <c r="I7" s="386">
        <f t="shared" si="2"/>
        <v>707528</v>
      </c>
      <c r="J7" s="386">
        <f t="shared" si="2"/>
        <v>1415056</v>
      </c>
      <c r="K7" s="386">
        <f t="shared" si="2"/>
        <v>1061292</v>
      </c>
      <c r="L7" s="386">
        <f t="shared" si="2"/>
        <v>707528</v>
      </c>
      <c r="M7" s="386">
        <f t="shared" si="2"/>
        <v>707528</v>
      </c>
      <c r="N7" s="386">
        <f t="shared" si="2"/>
        <v>707528</v>
      </c>
      <c r="O7" s="386">
        <f t="shared" si="2"/>
        <v>0</v>
      </c>
      <c r="P7" s="387">
        <f t="shared" si="1"/>
        <v>7075280</v>
      </c>
      <c r="Q7" s="387">
        <f t="shared" si="3"/>
        <v>7075280</v>
      </c>
      <c r="R7" s="387">
        <f t="shared" ref="R7:R24" si="5">Q7-P7</f>
        <v>0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</row>
    <row r="8" spans="1:42" ht="26.25">
      <c r="A8" s="66" t="str">
        <f>'4th Street Financial '!A44</f>
        <v>Hard Costs for Construction Office/Commercial</v>
      </c>
      <c r="B8" s="385">
        <f>'4th Street Financial '!C44</f>
        <v>6230400</v>
      </c>
      <c r="C8" s="386">
        <f t="shared" si="4"/>
        <v>0</v>
      </c>
      <c r="D8" s="386">
        <f t="shared" si="2"/>
        <v>0</v>
      </c>
      <c r="E8" s="386">
        <f t="shared" si="2"/>
        <v>311520</v>
      </c>
      <c r="F8" s="386">
        <f t="shared" si="2"/>
        <v>311520</v>
      </c>
      <c r="G8" s="386">
        <f t="shared" si="2"/>
        <v>311520</v>
      </c>
      <c r="H8" s="386">
        <f t="shared" si="2"/>
        <v>623040</v>
      </c>
      <c r="I8" s="386">
        <f t="shared" si="2"/>
        <v>623040</v>
      </c>
      <c r="J8" s="386">
        <f t="shared" si="2"/>
        <v>1246080</v>
      </c>
      <c r="K8" s="386">
        <f t="shared" si="2"/>
        <v>934560</v>
      </c>
      <c r="L8" s="386">
        <f t="shared" si="2"/>
        <v>623040</v>
      </c>
      <c r="M8" s="386">
        <f t="shared" si="2"/>
        <v>623040</v>
      </c>
      <c r="N8" s="386">
        <f t="shared" si="2"/>
        <v>623040</v>
      </c>
      <c r="O8" s="386">
        <f t="shared" si="2"/>
        <v>0</v>
      </c>
      <c r="P8" s="387">
        <f t="shared" si="1"/>
        <v>6230400</v>
      </c>
      <c r="Q8" s="387">
        <f t="shared" si="3"/>
        <v>6230400</v>
      </c>
      <c r="R8" s="387">
        <f t="shared" si="5"/>
        <v>0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</row>
    <row r="9" spans="1:42">
      <c r="A9" s="66" t="str">
        <f>'4th Street Financial '!A45</f>
        <v>Hard Costs for Industrial</v>
      </c>
      <c r="B9" s="385">
        <f>'4th Street Financial '!C45</f>
        <v>9345600</v>
      </c>
      <c r="C9" s="386">
        <f>B9</f>
        <v>9345600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7">
        <f t="shared" si="1"/>
        <v>9345600</v>
      </c>
      <c r="Q9" s="387">
        <f t="shared" si="3"/>
        <v>9345600</v>
      </c>
      <c r="R9" s="387">
        <f t="shared" si="5"/>
        <v>0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</row>
    <row r="10" spans="1:42">
      <c r="A10" s="66" t="str">
        <f>'4th Street Financial '!A46</f>
        <v>Parking stalls</v>
      </c>
      <c r="B10" s="385">
        <f>'4th Street Financial '!C46</f>
        <v>7596000</v>
      </c>
      <c r="C10" s="386">
        <f>B10</f>
        <v>7596000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7">
        <f t="shared" si="1"/>
        <v>7596000</v>
      </c>
      <c r="Q10" s="387">
        <f t="shared" si="3"/>
        <v>7596000</v>
      </c>
      <c r="R10" s="387">
        <f t="shared" si="5"/>
        <v>0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</row>
    <row r="11" spans="1:42">
      <c r="A11" s="66" t="str">
        <f>'4th Street Financial '!A47</f>
        <v>Hard Cost Contingency</v>
      </c>
      <c r="B11" s="385">
        <f>'4th Street Financial '!C47</f>
        <v>2535608</v>
      </c>
      <c r="C11" s="386">
        <f>B11</f>
        <v>2535608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v>0</v>
      </c>
      <c r="M11" s="386">
        <v>0</v>
      </c>
      <c r="N11" s="386">
        <v>0</v>
      </c>
      <c r="O11" s="386">
        <v>0</v>
      </c>
      <c r="P11" s="387">
        <f t="shared" si="1"/>
        <v>2535608</v>
      </c>
      <c r="Q11" s="387">
        <f t="shared" si="3"/>
        <v>2535608</v>
      </c>
      <c r="R11" s="387">
        <f t="shared" si="5"/>
        <v>0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</row>
    <row r="12" spans="1:42" ht="18.95" customHeight="1">
      <c r="A12" s="66" t="str">
        <f>'4th Street Financial '!A48</f>
        <v>Demolition</v>
      </c>
      <c r="B12" s="385">
        <f>'4th Street Financial '!C48</f>
        <v>144000</v>
      </c>
      <c r="C12" s="386">
        <f t="shared" si="4"/>
        <v>0</v>
      </c>
      <c r="D12" s="386">
        <f t="shared" si="2"/>
        <v>0</v>
      </c>
      <c r="E12" s="386">
        <f t="shared" si="2"/>
        <v>7200</v>
      </c>
      <c r="F12" s="386">
        <f t="shared" si="2"/>
        <v>7200</v>
      </c>
      <c r="G12" s="386">
        <f t="shared" si="2"/>
        <v>7200</v>
      </c>
      <c r="H12" s="386">
        <f t="shared" si="2"/>
        <v>14400</v>
      </c>
      <c r="I12" s="386">
        <f t="shared" si="2"/>
        <v>14400</v>
      </c>
      <c r="J12" s="386">
        <f t="shared" si="2"/>
        <v>28800</v>
      </c>
      <c r="K12" s="386">
        <f t="shared" si="2"/>
        <v>21600</v>
      </c>
      <c r="L12" s="386">
        <f t="shared" si="2"/>
        <v>14400</v>
      </c>
      <c r="M12" s="386">
        <f t="shared" si="2"/>
        <v>14400</v>
      </c>
      <c r="N12" s="386">
        <f t="shared" si="2"/>
        <v>14400</v>
      </c>
      <c r="O12" s="386">
        <f t="shared" si="2"/>
        <v>0</v>
      </c>
      <c r="P12" s="387">
        <f t="shared" si="1"/>
        <v>144000</v>
      </c>
      <c r="Q12" s="387">
        <f t="shared" si="3"/>
        <v>144000</v>
      </c>
      <c r="R12" s="387">
        <f t="shared" si="5"/>
        <v>0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</row>
    <row r="13" spans="1:42">
      <c r="A13" s="66" t="str">
        <f>'4th Street Financial '!A49</f>
        <v>LAND</v>
      </c>
      <c r="B13" s="385">
        <f>'4th Street Financial '!C49</f>
        <v>13349000</v>
      </c>
      <c r="C13" s="386">
        <f t="shared" si="4"/>
        <v>0</v>
      </c>
      <c r="D13" s="386">
        <f t="shared" si="2"/>
        <v>0</v>
      </c>
      <c r="E13" s="386">
        <f t="shared" si="2"/>
        <v>667450</v>
      </c>
      <c r="F13" s="386">
        <f t="shared" si="2"/>
        <v>667450</v>
      </c>
      <c r="G13" s="386">
        <f t="shared" si="2"/>
        <v>667450</v>
      </c>
      <c r="H13" s="386">
        <f t="shared" si="2"/>
        <v>1334900</v>
      </c>
      <c r="I13" s="386">
        <f t="shared" si="2"/>
        <v>1334900</v>
      </c>
      <c r="J13" s="386">
        <f t="shared" si="2"/>
        <v>2669800</v>
      </c>
      <c r="K13" s="386">
        <f t="shared" si="2"/>
        <v>2002350</v>
      </c>
      <c r="L13" s="386">
        <f t="shared" si="2"/>
        <v>1334900</v>
      </c>
      <c r="M13" s="386">
        <f t="shared" si="2"/>
        <v>1334900</v>
      </c>
      <c r="N13" s="386">
        <f t="shared" si="2"/>
        <v>1334900</v>
      </c>
      <c r="O13" s="386">
        <f t="shared" si="2"/>
        <v>0</v>
      </c>
      <c r="P13" s="387">
        <f t="shared" si="1"/>
        <v>13349000</v>
      </c>
      <c r="Q13" s="387">
        <f t="shared" si="3"/>
        <v>13349000</v>
      </c>
      <c r="R13" s="387">
        <f t="shared" si="5"/>
        <v>0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</row>
    <row r="14" spans="1:42">
      <c r="A14" s="66" t="str">
        <f>'4th Street Financial '!A50</f>
        <v>Municipal Fees and Allowances</v>
      </c>
      <c r="B14" s="385">
        <f>'4th Street Financial '!C50</f>
        <v>115000</v>
      </c>
      <c r="C14" s="386">
        <f>B14</f>
        <v>115000</v>
      </c>
      <c r="D14" s="386">
        <v>0</v>
      </c>
      <c r="E14" s="386">
        <v>0</v>
      </c>
      <c r="F14" s="386">
        <v>0</v>
      </c>
      <c r="G14" s="386">
        <v>0</v>
      </c>
      <c r="H14" s="386">
        <v>0</v>
      </c>
      <c r="I14" s="386">
        <v>0</v>
      </c>
      <c r="J14" s="386">
        <v>0</v>
      </c>
      <c r="K14" s="386">
        <v>0</v>
      </c>
      <c r="L14" s="386">
        <v>0</v>
      </c>
      <c r="M14" s="386">
        <v>0</v>
      </c>
      <c r="N14" s="386">
        <v>0</v>
      </c>
      <c r="O14" s="386">
        <v>0</v>
      </c>
      <c r="P14" s="387">
        <f t="shared" si="1"/>
        <v>115000</v>
      </c>
      <c r="Q14" s="387">
        <f t="shared" si="3"/>
        <v>115000</v>
      </c>
      <c r="R14" s="387">
        <f t="shared" si="5"/>
        <v>0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</row>
    <row r="15" spans="1:42">
      <c r="A15" s="66" t="str">
        <f>'4th Street Financial '!A51</f>
        <v>Infrastructure allocation</v>
      </c>
      <c r="B15" s="385">
        <f>'4th Street Financial '!C51</f>
        <v>500000</v>
      </c>
      <c r="C15" s="386">
        <f t="shared" si="4"/>
        <v>0</v>
      </c>
      <c r="D15" s="386">
        <f t="shared" si="2"/>
        <v>0</v>
      </c>
      <c r="E15" s="386">
        <f t="shared" si="2"/>
        <v>25000</v>
      </c>
      <c r="F15" s="386">
        <f t="shared" si="2"/>
        <v>25000</v>
      </c>
      <c r="G15" s="386">
        <f t="shared" si="2"/>
        <v>25000</v>
      </c>
      <c r="H15" s="386">
        <f t="shared" si="2"/>
        <v>50000</v>
      </c>
      <c r="I15" s="386">
        <f t="shared" si="2"/>
        <v>50000</v>
      </c>
      <c r="J15" s="386">
        <f t="shared" si="2"/>
        <v>100000</v>
      </c>
      <c r="K15" s="386">
        <f t="shared" si="2"/>
        <v>75000</v>
      </c>
      <c r="L15" s="386">
        <f t="shared" si="2"/>
        <v>50000</v>
      </c>
      <c r="M15" s="386">
        <f t="shared" si="2"/>
        <v>50000</v>
      </c>
      <c r="N15" s="386">
        <f t="shared" si="2"/>
        <v>50000</v>
      </c>
      <c r="O15" s="386">
        <f t="shared" si="2"/>
        <v>0</v>
      </c>
      <c r="P15" s="387">
        <f t="shared" si="1"/>
        <v>500000</v>
      </c>
      <c r="Q15" s="387">
        <f t="shared" si="3"/>
        <v>500000</v>
      </c>
      <c r="R15" s="387">
        <f t="shared" si="5"/>
        <v>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</row>
    <row r="16" spans="1:42">
      <c r="A16" s="66" t="str">
        <f>'4th Street Financial '!A52</f>
        <v>Legal</v>
      </c>
      <c r="B16" s="385">
        <f>'4th Street Financial '!C52</f>
        <v>400000</v>
      </c>
      <c r="C16" s="386">
        <f t="shared" si="4"/>
        <v>0</v>
      </c>
      <c r="D16" s="386">
        <f t="shared" si="2"/>
        <v>0</v>
      </c>
      <c r="E16" s="386">
        <f t="shared" si="2"/>
        <v>20000</v>
      </c>
      <c r="F16" s="386">
        <f t="shared" si="2"/>
        <v>20000</v>
      </c>
      <c r="G16" s="386">
        <f t="shared" si="2"/>
        <v>20000</v>
      </c>
      <c r="H16" s="386">
        <f t="shared" si="2"/>
        <v>40000</v>
      </c>
      <c r="I16" s="386">
        <f t="shared" si="2"/>
        <v>40000</v>
      </c>
      <c r="J16" s="386">
        <f t="shared" si="2"/>
        <v>80000</v>
      </c>
      <c r="K16" s="386">
        <f t="shared" si="2"/>
        <v>60000</v>
      </c>
      <c r="L16" s="386">
        <f t="shared" si="2"/>
        <v>40000</v>
      </c>
      <c r="M16" s="386">
        <f t="shared" si="2"/>
        <v>40000</v>
      </c>
      <c r="N16" s="386">
        <f t="shared" si="2"/>
        <v>40000</v>
      </c>
      <c r="O16" s="386">
        <f t="shared" si="2"/>
        <v>0</v>
      </c>
      <c r="P16" s="387">
        <f t="shared" si="1"/>
        <v>400000</v>
      </c>
      <c r="Q16" s="387">
        <f t="shared" si="3"/>
        <v>400000</v>
      </c>
      <c r="R16" s="387">
        <f t="shared" si="5"/>
        <v>0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</row>
    <row r="17" spans="1:44">
      <c r="A17" s="66" t="str">
        <f>'4th Street Financial '!A53</f>
        <v>Land Closing Costs/commissions</v>
      </c>
      <c r="B17" s="385">
        <f>'4th Street Financial '!C53</f>
        <v>133490</v>
      </c>
      <c r="C17" s="386">
        <f t="shared" si="4"/>
        <v>0</v>
      </c>
      <c r="D17" s="386">
        <f t="shared" si="2"/>
        <v>0</v>
      </c>
      <c r="E17" s="386">
        <f t="shared" si="2"/>
        <v>6674.5</v>
      </c>
      <c r="F17" s="386">
        <f t="shared" si="2"/>
        <v>6674.5</v>
      </c>
      <c r="G17" s="386">
        <f t="shared" si="2"/>
        <v>6674.5</v>
      </c>
      <c r="H17" s="386">
        <f t="shared" si="2"/>
        <v>13349</v>
      </c>
      <c r="I17" s="386">
        <f t="shared" si="2"/>
        <v>13349</v>
      </c>
      <c r="J17" s="386">
        <f t="shared" si="2"/>
        <v>26698</v>
      </c>
      <c r="K17" s="386">
        <f t="shared" si="2"/>
        <v>20023.5</v>
      </c>
      <c r="L17" s="386">
        <f t="shared" si="2"/>
        <v>13349</v>
      </c>
      <c r="M17" s="386">
        <f t="shared" si="2"/>
        <v>13349</v>
      </c>
      <c r="N17" s="386">
        <f t="shared" si="2"/>
        <v>13349</v>
      </c>
      <c r="O17" s="386">
        <f t="shared" si="2"/>
        <v>0</v>
      </c>
      <c r="P17" s="387">
        <f t="shared" si="1"/>
        <v>133490</v>
      </c>
      <c r="Q17" s="387">
        <f t="shared" si="3"/>
        <v>133490</v>
      </c>
      <c r="R17" s="387">
        <f t="shared" si="5"/>
        <v>0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</row>
    <row r="18" spans="1:44">
      <c r="A18" s="66" t="str">
        <f>'4th Street Financial '!A54</f>
        <v xml:space="preserve">Design </v>
      </c>
      <c r="B18" s="385">
        <f>'4th Street Financial '!C54</f>
        <v>760682.4</v>
      </c>
      <c r="C18" s="386">
        <f t="shared" si="4"/>
        <v>0</v>
      </c>
      <c r="D18" s="386">
        <f t="shared" si="2"/>
        <v>0</v>
      </c>
      <c r="E18" s="386">
        <f t="shared" si="2"/>
        <v>38034.120000000003</v>
      </c>
      <c r="F18" s="386">
        <f t="shared" si="2"/>
        <v>38034.120000000003</v>
      </c>
      <c r="G18" s="386">
        <f t="shared" si="2"/>
        <v>38034.120000000003</v>
      </c>
      <c r="H18" s="386">
        <f t="shared" si="2"/>
        <v>76068.240000000005</v>
      </c>
      <c r="I18" s="386">
        <f t="shared" si="2"/>
        <v>76068.240000000005</v>
      </c>
      <c r="J18" s="386">
        <f t="shared" si="2"/>
        <v>152136.48000000001</v>
      </c>
      <c r="K18" s="386">
        <f t="shared" si="2"/>
        <v>114102.36</v>
      </c>
      <c r="L18" s="386">
        <f t="shared" si="2"/>
        <v>76068.240000000005</v>
      </c>
      <c r="M18" s="386">
        <f t="shared" si="2"/>
        <v>76068.240000000005</v>
      </c>
      <c r="N18" s="386">
        <f t="shared" si="2"/>
        <v>76068.240000000005</v>
      </c>
      <c r="O18" s="386">
        <f t="shared" si="2"/>
        <v>0</v>
      </c>
      <c r="P18" s="387">
        <f t="shared" si="1"/>
        <v>760682.4</v>
      </c>
      <c r="Q18" s="387">
        <f t="shared" si="3"/>
        <v>760682.4</v>
      </c>
      <c r="R18" s="387">
        <f t="shared" si="5"/>
        <v>0</v>
      </c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</row>
    <row r="19" spans="1:44">
      <c r="A19" s="66" t="str">
        <f>'4th Street Financial '!A55</f>
        <v>Developer Fee</v>
      </c>
      <c r="B19" s="385">
        <f>'4th Street Financial '!C55</f>
        <v>760682.4</v>
      </c>
      <c r="C19" s="386">
        <f t="shared" si="4"/>
        <v>0</v>
      </c>
      <c r="D19" s="386">
        <f t="shared" si="2"/>
        <v>0</v>
      </c>
      <c r="E19" s="386">
        <f t="shared" si="2"/>
        <v>38034.120000000003</v>
      </c>
      <c r="F19" s="386">
        <f t="shared" si="2"/>
        <v>38034.120000000003</v>
      </c>
      <c r="G19" s="386">
        <f t="shared" si="2"/>
        <v>38034.120000000003</v>
      </c>
      <c r="H19" s="386">
        <f t="shared" si="2"/>
        <v>76068.240000000005</v>
      </c>
      <c r="I19" s="386">
        <f t="shared" si="2"/>
        <v>76068.240000000005</v>
      </c>
      <c r="J19" s="386">
        <f t="shared" si="2"/>
        <v>152136.48000000001</v>
      </c>
      <c r="K19" s="386">
        <f t="shared" si="2"/>
        <v>114102.36</v>
      </c>
      <c r="L19" s="386">
        <f t="shared" si="2"/>
        <v>76068.240000000005</v>
      </c>
      <c r="M19" s="386">
        <f t="shared" si="2"/>
        <v>76068.240000000005</v>
      </c>
      <c r="N19" s="386">
        <f t="shared" si="2"/>
        <v>76068.240000000005</v>
      </c>
      <c r="O19" s="386">
        <f t="shared" si="2"/>
        <v>0</v>
      </c>
      <c r="P19" s="387">
        <f t="shared" si="1"/>
        <v>760682.4</v>
      </c>
      <c r="Q19" s="387">
        <f t="shared" si="3"/>
        <v>760682.4</v>
      </c>
      <c r="R19" s="387">
        <f t="shared" si="5"/>
        <v>0</v>
      </c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</row>
    <row r="20" spans="1:44">
      <c r="A20" s="66" t="str">
        <f>'4th Street Financial '!A56</f>
        <v>Construction Management Fee</v>
      </c>
      <c r="B20" s="385">
        <f>'4th Street Financial '!C56</f>
        <v>507121.60000000003</v>
      </c>
      <c r="C20" s="386">
        <f t="shared" si="4"/>
        <v>0</v>
      </c>
      <c r="D20" s="386">
        <f t="shared" si="2"/>
        <v>0</v>
      </c>
      <c r="E20" s="386">
        <f t="shared" si="2"/>
        <v>25356.080000000002</v>
      </c>
      <c r="F20" s="386">
        <f t="shared" si="2"/>
        <v>25356.080000000002</v>
      </c>
      <c r="G20" s="386">
        <f t="shared" si="2"/>
        <v>25356.080000000002</v>
      </c>
      <c r="H20" s="386">
        <f t="shared" si="2"/>
        <v>50712.160000000003</v>
      </c>
      <c r="I20" s="386">
        <f t="shared" si="2"/>
        <v>50712.160000000003</v>
      </c>
      <c r="J20" s="386">
        <f t="shared" si="2"/>
        <v>101424.32000000001</v>
      </c>
      <c r="K20" s="386">
        <f t="shared" si="2"/>
        <v>76068.240000000005</v>
      </c>
      <c r="L20" s="386">
        <f t="shared" si="2"/>
        <v>50712.160000000003</v>
      </c>
      <c r="M20" s="386">
        <f t="shared" si="2"/>
        <v>50712.160000000003</v>
      </c>
      <c r="N20" s="386">
        <f t="shared" si="2"/>
        <v>50712.160000000003</v>
      </c>
      <c r="O20" s="386">
        <f t="shared" si="2"/>
        <v>0</v>
      </c>
      <c r="P20" s="387">
        <f t="shared" si="1"/>
        <v>507121.60000000009</v>
      </c>
      <c r="Q20" s="387">
        <f t="shared" si="3"/>
        <v>507121.60000000003</v>
      </c>
      <c r="R20" s="387">
        <f t="shared" si="5"/>
        <v>0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</row>
    <row r="21" spans="1:44">
      <c r="A21" s="66" t="str">
        <f>'4th Street Financial '!A57</f>
        <v>Taxes</v>
      </c>
      <c r="B21" s="385">
        <f>'4th Street Financial '!C57</f>
        <v>235743.33999999997</v>
      </c>
      <c r="C21" s="386">
        <f t="shared" si="4"/>
        <v>0</v>
      </c>
      <c r="D21" s="386">
        <f t="shared" si="2"/>
        <v>0</v>
      </c>
      <c r="E21" s="386">
        <f t="shared" si="2"/>
        <v>11787.166999999999</v>
      </c>
      <c r="F21" s="386">
        <f t="shared" si="2"/>
        <v>11787.166999999999</v>
      </c>
      <c r="G21" s="386">
        <f t="shared" si="2"/>
        <v>11787.166999999999</v>
      </c>
      <c r="H21" s="386">
        <f t="shared" si="2"/>
        <v>23574.333999999999</v>
      </c>
      <c r="I21" s="386">
        <f t="shared" si="2"/>
        <v>23574.333999999999</v>
      </c>
      <c r="J21" s="386">
        <f t="shared" si="2"/>
        <v>47148.667999999998</v>
      </c>
      <c r="K21" s="386">
        <f t="shared" si="2"/>
        <v>35361.500999999997</v>
      </c>
      <c r="L21" s="386">
        <f t="shared" si="2"/>
        <v>23574.333999999999</v>
      </c>
      <c r="M21" s="386">
        <f t="shared" si="2"/>
        <v>23574.333999999999</v>
      </c>
      <c r="N21" s="386">
        <f t="shared" si="2"/>
        <v>23574.333999999999</v>
      </c>
      <c r="O21" s="386">
        <f t="shared" si="2"/>
        <v>0</v>
      </c>
      <c r="P21" s="387">
        <f t="shared" si="1"/>
        <v>235743.34</v>
      </c>
      <c r="Q21" s="387">
        <f t="shared" si="3"/>
        <v>235743.33999999997</v>
      </c>
      <c r="R21" s="387">
        <f t="shared" si="5"/>
        <v>0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</row>
    <row r="22" spans="1:44">
      <c r="A22" s="66" t="str">
        <f>'4th Street Financial '!A58</f>
        <v>Insurance</v>
      </c>
      <c r="B22" s="385">
        <f>'4th Street Financial '!C58</f>
        <v>479900</v>
      </c>
      <c r="C22" s="386">
        <f t="shared" si="4"/>
        <v>0</v>
      </c>
      <c r="D22" s="386">
        <f t="shared" ref="D22:O22" si="6">$B22*D$5</f>
        <v>0</v>
      </c>
      <c r="E22" s="386">
        <f t="shared" si="6"/>
        <v>23995</v>
      </c>
      <c r="F22" s="386">
        <f t="shared" si="6"/>
        <v>23995</v>
      </c>
      <c r="G22" s="386">
        <f t="shared" si="6"/>
        <v>23995</v>
      </c>
      <c r="H22" s="386">
        <f t="shared" si="6"/>
        <v>47990</v>
      </c>
      <c r="I22" s="386">
        <f t="shared" si="6"/>
        <v>47990</v>
      </c>
      <c r="J22" s="386">
        <f t="shared" si="6"/>
        <v>95980</v>
      </c>
      <c r="K22" s="386">
        <f t="shared" si="6"/>
        <v>71985</v>
      </c>
      <c r="L22" s="386">
        <f t="shared" si="6"/>
        <v>47990</v>
      </c>
      <c r="M22" s="386">
        <f t="shared" si="6"/>
        <v>47990</v>
      </c>
      <c r="N22" s="386">
        <f t="shared" si="6"/>
        <v>47990</v>
      </c>
      <c r="O22" s="386">
        <f t="shared" si="6"/>
        <v>0</v>
      </c>
      <c r="P22" s="387">
        <f t="shared" si="1"/>
        <v>479900</v>
      </c>
      <c r="Q22" s="387">
        <f t="shared" si="3"/>
        <v>479900</v>
      </c>
      <c r="R22" s="387">
        <f t="shared" si="5"/>
        <v>0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</row>
    <row r="23" spans="1:44">
      <c r="A23" s="66" t="str">
        <f>'4th Street Financial '!A59</f>
        <v>Marketing, FFE and Preleasing</v>
      </c>
      <c r="B23" s="385">
        <f>'4th Street Financial '!C59</f>
        <v>287940</v>
      </c>
      <c r="C23" s="386">
        <f>B23</f>
        <v>287940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7">
        <f t="shared" si="1"/>
        <v>287940</v>
      </c>
      <c r="Q23" s="387">
        <f t="shared" si="3"/>
        <v>287940</v>
      </c>
      <c r="R23" s="387">
        <f t="shared" si="5"/>
        <v>0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</row>
    <row r="24" spans="1:44">
      <c r="A24" s="66" t="str">
        <f>'4th Street Financial '!A60</f>
        <v>Operating Deficit</v>
      </c>
      <c r="B24" s="385">
        <f>'4th Street Financial '!C60</f>
        <v>726382.80000000016</v>
      </c>
      <c r="C24" s="386">
        <f t="shared" si="4"/>
        <v>0</v>
      </c>
      <c r="D24" s="386">
        <f t="shared" si="4"/>
        <v>0</v>
      </c>
      <c r="E24" s="386">
        <f t="shared" si="4"/>
        <v>36319.140000000007</v>
      </c>
      <c r="F24" s="386">
        <f t="shared" si="4"/>
        <v>36319.140000000007</v>
      </c>
      <c r="G24" s="386">
        <f t="shared" si="4"/>
        <v>36319.140000000007</v>
      </c>
      <c r="H24" s="386">
        <f t="shared" si="4"/>
        <v>72638.280000000013</v>
      </c>
      <c r="I24" s="386">
        <f t="shared" si="4"/>
        <v>72638.280000000013</v>
      </c>
      <c r="J24" s="386">
        <f t="shared" si="4"/>
        <v>145276.56000000003</v>
      </c>
      <c r="K24" s="386">
        <f t="shared" si="4"/>
        <v>108957.42000000003</v>
      </c>
      <c r="L24" s="386">
        <f t="shared" si="4"/>
        <v>72638.280000000013</v>
      </c>
      <c r="M24" s="386">
        <f t="shared" si="4"/>
        <v>72638.280000000013</v>
      </c>
      <c r="N24" s="386">
        <f t="shared" si="4"/>
        <v>72638.280000000013</v>
      </c>
      <c r="O24" s="386">
        <f t="shared" si="4"/>
        <v>0</v>
      </c>
      <c r="P24" s="387">
        <f t="shared" si="1"/>
        <v>726382.80000000016</v>
      </c>
      <c r="Q24" s="387">
        <f t="shared" si="3"/>
        <v>726382.80000000016</v>
      </c>
      <c r="R24" s="387">
        <f t="shared" si="5"/>
        <v>0</v>
      </c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</row>
    <row r="25" spans="1:44">
      <c r="A25" s="66" t="str">
        <f>'4th Street Financial '!A61</f>
        <v>Net interest during closeout</v>
      </c>
      <c r="B25" s="385">
        <f>'4th Street Financial '!C61</f>
        <v>709863</v>
      </c>
      <c r="C25" s="386">
        <f t="shared" si="4"/>
        <v>0</v>
      </c>
      <c r="D25" s="386">
        <f t="shared" si="4"/>
        <v>0</v>
      </c>
      <c r="E25" s="386">
        <f t="shared" si="4"/>
        <v>35493.15</v>
      </c>
      <c r="F25" s="386">
        <f t="shared" si="4"/>
        <v>35493.15</v>
      </c>
      <c r="G25" s="386">
        <f t="shared" si="4"/>
        <v>35493.15</v>
      </c>
      <c r="H25" s="386">
        <f t="shared" si="4"/>
        <v>70986.3</v>
      </c>
      <c r="I25" s="386">
        <f t="shared" si="4"/>
        <v>70986.3</v>
      </c>
      <c r="J25" s="386">
        <f t="shared" si="4"/>
        <v>141972.6</v>
      </c>
      <c r="K25" s="386">
        <f t="shared" si="4"/>
        <v>106479.45</v>
      </c>
      <c r="L25" s="386">
        <f t="shared" si="4"/>
        <v>70986.3</v>
      </c>
      <c r="M25" s="386">
        <f t="shared" si="4"/>
        <v>70986.3</v>
      </c>
      <c r="N25" s="386">
        <f t="shared" si="4"/>
        <v>70986.3</v>
      </c>
      <c r="O25" s="386">
        <f t="shared" si="4"/>
        <v>0</v>
      </c>
      <c r="P25" s="387"/>
      <c r="Q25" s="387"/>
      <c r="R25" s="387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</row>
    <row r="26" spans="1:44">
      <c r="A26" s="66" t="str">
        <f>'4th Street Financial '!A62</f>
        <v>Retail Tenant Improvements</v>
      </c>
      <c r="B26" s="385">
        <f>'4th Street Financial '!C62</f>
        <v>7198500</v>
      </c>
      <c r="C26" s="386">
        <f t="shared" si="4"/>
        <v>0</v>
      </c>
      <c r="D26" s="386">
        <f t="shared" si="4"/>
        <v>0</v>
      </c>
      <c r="E26" s="386">
        <f t="shared" si="4"/>
        <v>359925</v>
      </c>
      <c r="F26" s="386">
        <f t="shared" si="4"/>
        <v>359925</v>
      </c>
      <c r="G26" s="386">
        <f t="shared" si="4"/>
        <v>359925</v>
      </c>
      <c r="H26" s="386">
        <f t="shared" si="4"/>
        <v>719850</v>
      </c>
      <c r="I26" s="386">
        <f t="shared" si="4"/>
        <v>719850</v>
      </c>
      <c r="J26" s="386">
        <f t="shared" si="4"/>
        <v>1439700</v>
      </c>
      <c r="K26" s="386">
        <f t="shared" si="4"/>
        <v>1079775</v>
      </c>
      <c r="L26" s="386">
        <f t="shared" si="4"/>
        <v>719850</v>
      </c>
      <c r="M26" s="386">
        <f t="shared" si="4"/>
        <v>719850</v>
      </c>
      <c r="N26" s="386">
        <f t="shared" si="4"/>
        <v>719850</v>
      </c>
      <c r="O26" s="386">
        <f t="shared" si="4"/>
        <v>0</v>
      </c>
      <c r="P26" s="387"/>
      <c r="Q26" s="387"/>
      <c r="R26" s="387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</row>
    <row r="27" spans="1:44">
      <c r="A27" s="66" t="str">
        <f>'4th Street Financial '!A63</f>
        <v>Retail brokerage</v>
      </c>
      <c r="B27" s="385">
        <f>'4th Street Financial '!C63</f>
        <v>913320</v>
      </c>
      <c r="C27" s="386">
        <f>B27</f>
        <v>913320</v>
      </c>
      <c r="D27" s="386">
        <v>0</v>
      </c>
      <c r="E27" s="386">
        <v>0</v>
      </c>
      <c r="F27" s="386">
        <v>0</v>
      </c>
      <c r="G27" s="386">
        <v>0</v>
      </c>
      <c r="H27" s="386">
        <v>0</v>
      </c>
      <c r="I27" s="386">
        <v>0</v>
      </c>
      <c r="J27" s="386">
        <v>0</v>
      </c>
      <c r="K27" s="386">
        <v>0</v>
      </c>
      <c r="L27" s="386">
        <v>0</v>
      </c>
      <c r="M27" s="386">
        <v>0</v>
      </c>
      <c r="N27" s="386">
        <v>0</v>
      </c>
      <c r="O27" s="386">
        <f t="shared" si="4"/>
        <v>0</v>
      </c>
      <c r="P27" s="387"/>
      <c r="Q27" s="387"/>
      <c r="R27" s="38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</row>
    <row r="28" spans="1:44">
      <c r="A28" s="66" t="str">
        <f>'4th Street Financial '!A64</f>
        <v>Construction Loan Origination</v>
      </c>
      <c r="B28" s="385">
        <f>'4th Street Financial '!C64</f>
        <v>296016.53999999998</v>
      </c>
      <c r="C28" s="386">
        <f>B28</f>
        <v>296016.53999999998</v>
      </c>
      <c r="D28" s="386">
        <f t="shared" si="4"/>
        <v>0</v>
      </c>
      <c r="E28" s="386">
        <v>0</v>
      </c>
      <c r="F28" s="386">
        <v>0</v>
      </c>
      <c r="G28" s="386">
        <v>0</v>
      </c>
      <c r="H28" s="386">
        <v>0</v>
      </c>
      <c r="I28" s="386">
        <v>0</v>
      </c>
      <c r="J28" s="386">
        <v>0</v>
      </c>
      <c r="K28" s="386">
        <v>0</v>
      </c>
      <c r="L28" s="386">
        <v>0</v>
      </c>
      <c r="M28" s="386">
        <v>0</v>
      </c>
      <c r="N28" s="386">
        <v>0</v>
      </c>
      <c r="O28" s="386">
        <f t="shared" si="4"/>
        <v>0</v>
      </c>
      <c r="P28" s="387"/>
      <c r="Q28" s="387"/>
      <c r="R28" s="387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</row>
    <row r="29" spans="1:44">
      <c r="A29" s="66" t="str">
        <f>'4th Street Financial '!A65</f>
        <v>Construction Interest</v>
      </c>
      <c r="B29" s="385">
        <f>'4th Street Financial '!C65</f>
        <v>1380122</v>
      </c>
      <c r="C29" s="386">
        <f t="shared" si="4"/>
        <v>0</v>
      </c>
      <c r="D29" s="386">
        <f t="shared" si="4"/>
        <v>0</v>
      </c>
      <c r="E29" s="386">
        <f t="shared" si="4"/>
        <v>69006.100000000006</v>
      </c>
      <c r="F29" s="386">
        <f t="shared" si="4"/>
        <v>69006.100000000006</v>
      </c>
      <c r="G29" s="386">
        <f t="shared" si="4"/>
        <v>69006.100000000006</v>
      </c>
      <c r="H29" s="386">
        <f t="shared" si="4"/>
        <v>138012.20000000001</v>
      </c>
      <c r="I29" s="386">
        <f t="shared" si="4"/>
        <v>138012.20000000001</v>
      </c>
      <c r="J29" s="386">
        <f t="shared" si="4"/>
        <v>276024.40000000002</v>
      </c>
      <c r="K29" s="386">
        <f t="shared" si="4"/>
        <v>207018.3</v>
      </c>
      <c r="L29" s="386">
        <f t="shared" si="4"/>
        <v>138012.20000000001</v>
      </c>
      <c r="M29" s="386">
        <f t="shared" si="4"/>
        <v>138012.20000000001</v>
      </c>
      <c r="N29" s="386">
        <f t="shared" si="4"/>
        <v>138012.20000000001</v>
      </c>
      <c r="O29" s="386">
        <f t="shared" si="4"/>
        <v>0</v>
      </c>
      <c r="P29" s="387"/>
      <c r="Q29" s="387"/>
      <c r="R29" s="387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</row>
    <row r="30" spans="1:44">
      <c r="A30" s="66" t="str">
        <f>'4th Street Financial '!A66</f>
        <v>Additional Contingency</v>
      </c>
      <c r="B30" s="385">
        <f>'4th Street Financial '!C66</f>
        <v>253560.80000000002</v>
      </c>
      <c r="C30" s="386">
        <f t="shared" si="4"/>
        <v>0</v>
      </c>
      <c r="D30" s="386">
        <f t="shared" si="4"/>
        <v>0</v>
      </c>
      <c r="E30" s="386">
        <f t="shared" si="4"/>
        <v>12678.04</v>
      </c>
      <c r="F30" s="386">
        <f t="shared" si="4"/>
        <v>12678.04</v>
      </c>
      <c r="G30" s="386">
        <f t="shared" si="4"/>
        <v>12678.04</v>
      </c>
      <c r="H30" s="386">
        <f t="shared" si="4"/>
        <v>25356.080000000002</v>
      </c>
      <c r="I30" s="386">
        <f t="shared" si="4"/>
        <v>25356.080000000002</v>
      </c>
      <c r="J30" s="386">
        <f t="shared" si="4"/>
        <v>50712.160000000003</v>
      </c>
      <c r="K30" s="386">
        <f t="shared" si="4"/>
        <v>38034.120000000003</v>
      </c>
      <c r="L30" s="386">
        <f t="shared" si="4"/>
        <v>25356.080000000002</v>
      </c>
      <c r="M30" s="386">
        <f t="shared" si="4"/>
        <v>25356.080000000002</v>
      </c>
      <c r="N30" s="386">
        <f t="shared" si="4"/>
        <v>25356.080000000002</v>
      </c>
      <c r="O30" s="386">
        <f t="shared" si="4"/>
        <v>0</v>
      </c>
      <c r="P30" s="387"/>
      <c r="Q30" s="387"/>
      <c r="R30" s="387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</row>
    <row r="31" spans="1:44" s="908" customFormat="1" ht="15.75" thickBot="1">
      <c r="A31" s="1136" t="str">
        <f>'4th Street Financial '!A67</f>
        <v>Total Project Cost</v>
      </c>
      <c r="B31" s="1137">
        <f t="shared" ref="B31:Q31" si="7">SUM(B6:B30)</f>
        <v>64639012.879999995</v>
      </c>
      <c r="C31" s="1138">
        <f t="shared" si="7"/>
        <v>21089484.539999999</v>
      </c>
      <c r="D31" s="1138">
        <f t="shared" si="7"/>
        <v>0</v>
      </c>
      <c r="E31" s="1138">
        <f t="shared" si="7"/>
        <v>2177476.4169999999</v>
      </c>
      <c r="F31" s="1138">
        <f t="shared" si="7"/>
        <v>2177476.4169999999</v>
      </c>
      <c r="G31" s="1138">
        <f t="shared" si="7"/>
        <v>2177476.4169999999</v>
      </c>
      <c r="H31" s="1138">
        <f t="shared" si="7"/>
        <v>4354952.8339999998</v>
      </c>
      <c r="I31" s="1138">
        <f t="shared" si="7"/>
        <v>4354952.8339999998</v>
      </c>
      <c r="J31" s="1138">
        <f t="shared" si="7"/>
        <v>8709905.6679999996</v>
      </c>
      <c r="K31" s="1138">
        <f t="shared" si="7"/>
        <v>6532429.2510000011</v>
      </c>
      <c r="L31" s="1138">
        <f t="shared" si="7"/>
        <v>4354952.8339999998</v>
      </c>
      <c r="M31" s="1138">
        <f t="shared" si="7"/>
        <v>4354952.8339999998</v>
      </c>
      <c r="N31" s="1138">
        <f t="shared" si="7"/>
        <v>4354952.8339999998</v>
      </c>
      <c r="O31" s="1138">
        <f t="shared" si="7"/>
        <v>0</v>
      </c>
      <c r="P31" s="1139">
        <f t="shared" si="7"/>
        <v>53887630.539999999</v>
      </c>
      <c r="Q31" s="1140">
        <f t="shared" si="7"/>
        <v>53887630.539999999</v>
      </c>
      <c r="R31" s="1140"/>
      <c r="S31" s="1141"/>
      <c r="T31" s="1141"/>
      <c r="U31" s="1141"/>
      <c r="V31" s="1141"/>
      <c r="W31" s="1141"/>
      <c r="X31" s="1141"/>
      <c r="Y31" s="1141"/>
      <c r="Z31" s="1141"/>
      <c r="AA31" s="1141"/>
      <c r="AB31" s="1141"/>
      <c r="AC31" s="1141"/>
      <c r="AD31" s="1141"/>
      <c r="AE31" s="1141"/>
      <c r="AF31" s="1141"/>
      <c r="AG31" s="1141"/>
      <c r="AH31" s="1141"/>
      <c r="AI31" s="1141"/>
      <c r="AJ31" s="1141"/>
      <c r="AK31" s="1141"/>
      <c r="AL31" s="1141"/>
      <c r="AM31" s="1141"/>
      <c r="AN31" s="1141"/>
      <c r="AO31" s="1141"/>
      <c r="AP31" s="1141"/>
      <c r="AQ31" s="1141"/>
      <c r="AR31" s="1141"/>
    </row>
    <row r="32" spans="1:44">
      <c r="A32" s="1134" t="s">
        <v>261</v>
      </c>
      <c r="B32" s="1135">
        <f>'4th Street Financial '!B75</f>
        <v>-1207000</v>
      </c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6"/>
      <c r="Q32" s="145"/>
      <c r="R32" s="145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</row>
    <row r="33" spans="1:44" s="908" customFormat="1" ht="15.75" thickBot="1">
      <c r="A33" s="401" t="s">
        <v>262</v>
      </c>
      <c r="B33" s="402">
        <f>B31+B32</f>
        <v>63432012.879999995</v>
      </c>
      <c r="C33" s="1142"/>
      <c r="D33" s="1142"/>
      <c r="E33" s="1142"/>
      <c r="F33" s="1142"/>
      <c r="G33" s="1142"/>
      <c r="H33" s="1142"/>
      <c r="I33" s="1142"/>
      <c r="J33" s="1142"/>
      <c r="K33" s="1142"/>
      <c r="L33" s="1142"/>
      <c r="M33" s="1142"/>
      <c r="N33" s="1142"/>
      <c r="O33" s="1142"/>
      <c r="P33" s="1143"/>
      <c r="Q33" s="1143"/>
      <c r="R33" s="1143"/>
      <c r="S33" s="1141"/>
      <c r="T33" s="1141"/>
      <c r="U33" s="1141"/>
      <c r="V33" s="1141"/>
      <c r="W33" s="1141"/>
      <c r="X33" s="1141"/>
      <c r="Y33" s="1141"/>
      <c r="Z33" s="1141"/>
      <c r="AA33" s="1141"/>
      <c r="AB33" s="1141"/>
      <c r="AC33" s="1141"/>
      <c r="AD33" s="1141"/>
      <c r="AE33" s="1141"/>
      <c r="AF33" s="1141"/>
      <c r="AG33" s="1141"/>
      <c r="AH33" s="1141"/>
      <c r="AI33" s="1141"/>
      <c r="AJ33" s="1141"/>
      <c r="AK33" s="1141"/>
      <c r="AL33" s="1141"/>
      <c r="AM33" s="1141"/>
      <c r="AN33" s="1141"/>
      <c r="AO33" s="1141"/>
      <c r="AP33" s="1141"/>
      <c r="AQ33" s="1141"/>
      <c r="AR33" s="1141"/>
    </row>
    <row r="34" spans="1:44">
      <c r="A34" s="154" t="s">
        <v>263</v>
      </c>
      <c r="B34" s="155">
        <f>SUM(C34:O34)</f>
        <v>32319506.439999998</v>
      </c>
      <c r="C34" s="218">
        <f>C31</f>
        <v>21089484.539999999</v>
      </c>
      <c r="D34" s="218">
        <f t="shared" ref="D34:O34" si="8">IF(C35+D31&lt;=$B$35,D31,($B$35-C35))</f>
        <v>0</v>
      </c>
      <c r="E34" s="218">
        <f t="shared" si="8"/>
        <v>2177476.4169999999</v>
      </c>
      <c r="F34" s="218">
        <f t="shared" si="8"/>
        <v>2177476.4169999999</v>
      </c>
      <c r="G34" s="218">
        <f t="shared" si="8"/>
        <v>2177476.4169999999</v>
      </c>
      <c r="H34" s="218">
        <f t="shared" si="8"/>
        <v>4354952.8339999998</v>
      </c>
      <c r="I34" s="218">
        <f t="shared" si="8"/>
        <v>342639.81500000134</v>
      </c>
      <c r="J34" s="218">
        <f t="shared" si="8"/>
        <v>0</v>
      </c>
      <c r="K34" s="218">
        <f t="shared" si="8"/>
        <v>0</v>
      </c>
      <c r="L34" s="218">
        <f t="shared" si="8"/>
        <v>0</v>
      </c>
      <c r="M34" s="218">
        <f t="shared" si="8"/>
        <v>0</v>
      </c>
      <c r="N34" s="218">
        <f t="shared" si="8"/>
        <v>0</v>
      </c>
      <c r="O34" s="218">
        <f t="shared" si="8"/>
        <v>0</v>
      </c>
      <c r="P34" s="909"/>
      <c r="Q34" s="909"/>
      <c r="R34" s="909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</row>
    <row r="35" spans="1:44" ht="15.75" thickBot="1">
      <c r="A35" s="384" t="s">
        <v>264</v>
      </c>
      <c r="B35" s="151">
        <f>'4th Street Financial '!B78</f>
        <v>32319506.439999998</v>
      </c>
      <c r="C35" s="387">
        <f>C34</f>
        <v>21089484.539999999</v>
      </c>
      <c r="D35" s="387">
        <f>IF(SUM($C$34:D$34)&lt;=$B35,SUM($C$34:D$34),0)</f>
        <v>21089484.539999999</v>
      </c>
      <c r="E35" s="387">
        <f>IF(SUM($C$34:E34)&lt;=$B35,SUM($C$34:E34),0)</f>
        <v>23266960.956999999</v>
      </c>
      <c r="F35" s="387">
        <f>IF(SUM($C$34:F34)&lt;=$B35,SUM($C$34:F34),0)</f>
        <v>25444437.373999998</v>
      </c>
      <c r="G35" s="387">
        <f>IF(SUM($C$34:G34)&lt;=$B35,SUM($C$34:G34),0)</f>
        <v>27621913.790999997</v>
      </c>
      <c r="H35" s="387">
        <f>IF(SUM($C$34:H34)&lt;=$B35,SUM($C$34:H34),0)</f>
        <v>31976866.624999996</v>
      </c>
      <c r="I35" s="387">
        <f>IF(SUM($C$34:I34)&lt;=$B35,SUM($C$34:I34),0)</f>
        <v>32319506.439999998</v>
      </c>
      <c r="J35" s="387">
        <f>IF(SUM($C$34:J34)&lt;=$B35,SUM($C$34:J34),0)</f>
        <v>32319506.439999998</v>
      </c>
      <c r="K35" s="387">
        <f>IF(SUM($C$34:K34)&lt;=$B35,SUM($C$34:K34),0)</f>
        <v>32319506.439999998</v>
      </c>
      <c r="L35" s="387">
        <f>IF(SUM($C$34:L34)&lt;=$B35,SUM($C$34:L34),0)</f>
        <v>32319506.439999998</v>
      </c>
      <c r="M35" s="387">
        <f>IF(SUM($C$34:M34)&lt;=$B35,SUM($C$34:M34),0)</f>
        <v>32319506.439999998</v>
      </c>
      <c r="N35" s="387">
        <f>IF(SUM($C$34:N34)&lt;=$B35,SUM($C$34:N34),0)</f>
        <v>32319506.439999998</v>
      </c>
      <c r="O35" s="387">
        <f>IF(SUM($C$34:O34)&lt;=$B35,SUM($C$34:O34),0)</f>
        <v>32319506.439999998</v>
      </c>
      <c r="P35" s="406"/>
      <c r="Q35" s="406"/>
      <c r="R35" s="406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</row>
    <row r="36" spans="1:44">
      <c r="A36" s="152" t="s">
        <v>265</v>
      </c>
      <c r="B36" s="153">
        <f>'4th Street Financial '!B77</f>
        <v>32319506.439999998</v>
      </c>
      <c r="C36" s="407"/>
      <c r="D36" s="408"/>
      <c r="E36" s="408"/>
      <c r="F36" s="408"/>
      <c r="G36" s="408"/>
      <c r="H36" s="408"/>
      <c r="I36" s="408"/>
      <c r="J36" s="408"/>
      <c r="K36" s="408"/>
      <c r="L36" s="408"/>
      <c r="M36" s="408"/>
      <c r="N36" s="408"/>
      <c r="O36" s="408"/>
      <c r="P36" s="406"/>
      <c r="Q36" s="406"/>
      <c r="R36" s="40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</row>
    <row r="37" spans="1:44" ht="15.75" thickBot="1">
      <c r="A37" s="409" t="s">
        <v>266</v>
      </c>
      <c r="B37" s="410">
        <f>PMT(0.045,30,(B36))</f>
        <v>-1984144.3663958125</v>
      </c>
      <c r="C37" s="407"/>
      <c r="D37" s="408"/>
      <c r="E37" s="408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6"/>
      <c r="Q37" s="406"/>
      <c r="R37" s="406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4">
      <c r="A38" s="154" t="s">
        <v>267</v>
      </c>
      <c r="B38" s="155">
        <f>SUM(C38:P38)</f>
        <v>0</v>
      </c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258"/>
      <c r="Q38" s="387"/>
      <c r="R38" s="406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4">
      <c r="A39" s="1317" t="s">
        <v>268</v>
      </c>
      <c r="B39" s="1318"/>
      <c r="C39" s="408"/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258"/>
      <c r="Q39" s="387"/>
      <c r="R39" s="406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4">
      <c r="A40" s="394" t="s">
        <v>269</v>
      </c>
      <c r="B40" s="258">
        <f>'4th Street Financial '!B85+'4th Street Financial '!B86</f>
        <v>42276822.654736832</v>
      </c>
      <c r="C40" s="412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394"/>
      <c r="Q40" s="419"/>
      <c r="R40" s="416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4">
      <c r="A41" s="394" t="s">
        <v>270</v>
      </c>
      <c r="B41" s="387">
        <f>SUM(C41:O41)</f>
        <v>9957316.2147368342</v>
      </c>
      <c r="C41" s="417">
        <f t="shared" ref="C41:N41" si="9">-C34</f>
        <v>-21089484.539999999</v>
      </c>
      <c r="D41" s="417">
        <f t="shared" si="9"/>
        <v>0</v>
      </c>
      <c r="E41" s="417">
        <f t="shared" si="9"/>
        <v>-2177476.4169999999</v>
      </c>
      <c r="F41" s="417">
        <f t="shared" si="9"/>
        <v>-2177476.4169999999</v>
      </c>
      <c r="G41" s="417">
        <f t="shared" si="9"/>
        <v>-2177476.4169999999</v>
      </c>
      <c r="H41" s="417">
        <f t="shared" si="9"/>
        <v>-4354952.8339999998</v>
      </c>
      <c r="I41" s="417">
        <f t="shared" si="9"/>
        <v>-342639.81500000134</v>
      </c>
      <c r="J41" s="417">
        <f t="shared" si="9"/>
        <v>0</v>
      </c>
      <c r="K41" s="417">
        <f t="shared" si="9"/>
        <v>0</v>
      </c>
      <c r="L41" s="417">
        <f t="shared" si="9"/>
        <v>0</v>
      </c>
      <c r="M41" s="417">
        <f t="shared" si="9"/>
        <v>0</v>
      </c>
      <c r="N41" s="417">
        <f t="shared" si="9"/>
        <v>0</v>
      </c>
      <c r="O41" s="418">
        <f>B40</f>
        <v>42276822.654736832</v>
      </c>
      <c r="P41" s="419"/>
      <c r="Q41" s="387"/>
      <c r="R41" s="387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4">
      <c r="A42" s="394" t="s">
        <v>271</v>
      </c>
      <c r="B42" s="496">
        <f>IF(B41&lt;0,0,IRR(C41:O41))</f>
        <v>2.5406910145910233E-2</v>
      </c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394"/>
      <c r="Q42" s="421"/>
      <c r="R42" s="421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4">
      <c r="A43" s="394" t="s">
        <v>272</v>
      </c>
      <c r="B43" s="498">
        <f>POWER((1+B42),4)-1</f>
        <v>0.10556672553552615</v>
      </c>
      <c r="C43" s="414"/>
      <c r="D43" s="414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5"/>
      <c r="Q43" s="425"/>
      <c r="R43" s="425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</row>
    <row r="44" spans="1:44">
      <c r="A44" s="1302" t="s">
        <v>273</v>
      </c>
      <c r="B44" s="1302"/>
      <c r="C44" s="414"/>
      <c r="D44" s="414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5"/>
      <c r="Q44" s="425"/>
      <c r="R44" s="425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</row>
    <row r="45" spans="1:44">
      <c r="A45" s="394" t="s">
        <v>274</v>
      </c>
      <c r="B45" s="396">
        <f>'4th Street Financial '!B85+'4th Street Financial '!B75</f>
        <v>73389329.094736829</v>
      </c>
      <c r="C45" s="414"/>
      <c r="D45" s="414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5"/>
      <c r="Q45" s="425"/>
      <c r="R45" s="425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</row>
    <row r="46" spans="1:44">
      <c r="A46" s="394" t="s">
        <v>275</v>
      </c>
      <c r="B46" s="387">
        <f>SUM(C46:O46)</f>
        <v>8750316.2147368342</v>
      </c>
      <c r="C46" s="387">
        <f>-C31</f>
        <v>-21089484.539999999</v>
      </c>
      <c r="D46" s="387">
        <f>-D31</f>
        <v>0</v>
      </c>
      <c r="E46" s="387">
        <f>-E31</f>
        <v>-2177476.4169999999</v>
      </c>
      <c r="F46" s="387">
        <f t="shared" ref="F46:M46" si="10">-F31</f>
        <v>-2177476.4169999999</v>
      </c>
      <c r="G46" s="387">
        <f t="shared" si="10"/>
        <v>-2177476.4169999999</v>
      </c>
      <c r="H46" s="387">
        <f t="shared" si="10"/>
        <v>-4354952.8339999998</v>
      </c>
      <c r="I46" s="387">
        <f t="shared" si="10"/>
        <v>-4354952.8339999998</v>
      </c>
      <c r="J46" s="387">
        <f t="shared" si="10"/>
        <v>-8709905.6679999996</v>
      </c>
      <c r="K46" s="387">
        <f t="shared" si="10"/>
        <v>-6532429.2510000011</v>
      </c>
      <c r="L46" s="387">
        <f t="shared" si="10"/>
        <v>-4354952.8339999998</v>
      </c>
      <c r="M46" s="387">
        <f t="shared" si="10"/>
        <v>-4354952.8339999998</v>
      </c>
      <c r="N46" s="387">
        <f>-N31</f>
        <v>-4354952.8339999998</v>
      </c>
      <c r="O46" s="421">
        <f>-O31+B45</f>
        <v>73389329.094736829</v>
      </c>
      <c r="P46" s="421"/>
      <c r="Q46" s="394"/>
      <c r="R46" s="394"/>
    </row>
    <row r="47" spans="1:44">
      <c r="A47" s="394" t="s">
        <v>276</v>
      </c>
      <c r="B47" s="496">
        <f>IF(B46&lt;0,0,IRR(C46:O46))</f>
        <v>1.7506224365909873E-2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08"/>
      <c r="N47" s="414"/>
      <c r="O47" s="414"/>
      <c r="P47" s="394"/>
      <c r="Q47" s="394"/>
      <c r="R47" s="394"/>
    </row>
    <row r="48" spans="1:44">
      <c r="A48" s="394" t="s">
        <v>277</v>
      </c>
      <c r="B48" s="498">
        <f>POWER((1+B47),4)-1</f>
        <v>7.1885259118187328E-2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08"/>
      <c r="N48" s="414"/>
      <c r="O48" s="414"/>
      <c r="P48" s="394"/>
      <c r="Q48" s="394"/>
      <c r="R48" s="394"/>
    </row>
    <row r="49" spans="7:7">
      <c r="G49" s="21"/>
    </row>
    <row r="50" spans="7:7">
      <c r="G50" s="21"/>
    </row>
    <row r="51" spans="7:7">
      <c r="G51" s="21"/>
    </row>
    <row r="52" spans="7:7">
      <c r="G52" s="21"/>
    </row>
    <row r="53" spans="7:7">
      <c r="G53" s="21"/>
    </row>
    <row r="54" spans="7:7">
      <c r="G54" s="21"/>
    </row>
    <row r="55" spans="7:7">
      <c r="G55" s="21"/>
    </row>
    <row r="56" spans="7:7">
      <c r="G56" s="21"/>
    </row>
    <row r="57" spans="7:7">
      <c r="G57" s="21"/>
    </row>
    <row r="58" spans="7:7">
      <c r="G58" s="21"/>
    </row>
    <row r="59" spans="7:7">
      <c r="G59" s="21"/>
    </row>
    <row r="60" spans="7:7">
      <c r="G60" s="21"/>
    </row>
    <row r="61" spans="7:7">
      <c r="G61" s="21"/>
    </row>
    <row r="62" spans="7:7">
      <c r="G62" s="21"/>
    </row>
    <row r="63" spans="7:7">
      <c r="G63" s="21"/>
    </row>
    <row r="64" spans="7: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  <row r="600" spans="7:7">
      <c r="G600" s="21"/>
    </row>
    <row r="601" spans="7:7">
      <c r="G601" s="21"/>
    </row>
    <row r="602" spans="7:7">
      <c r="G602" s="21"/>
    </row>
    <row r="603" spans="7:7">
      <c r="G603" s="21"/>
    </row>
    <row r="604" spans="7:7">
      <c r="G604" s="21"/>
    </row>
    <row r="605" spans="7:7">
      <c r="G605" s="21"/>
    </row>
  </sheetData>
  <mergeCells count="4">
    <mergeCell ref="A1:A4"/>
    <mergeCell ref="P2:R2"/>
    <mergeCell ref="A39:B39"/>
    <mergeCell ref="A44:B44"/>
  </mergeCells>
  <conditionalFormatting sqref="D4:O4">
    <cfRule type="cellIs" dxfId="59" priority="1" operator="equal">
      <formula>#REF!</formula>
    </cfRule>
    <cfRule type="cellIs" dxfId="58" priority="2" operator="equal">
      <formula>#REF!</formula>
    </cfRule>
    <cfRule type="cellIs" dxfId="57" priority="3" operator="equal">
      <formula>#REF!</formula>
    </cfRule>
    <cfRule type="cellIs" dxfId="56" priority="4" operator="equal">
      <formula>#REF!</formula>
    </cfRule>
  </conditionalFormatting>
  <conditionalFormatting sqref="P4:R4">
    <cfRule type="cellIs" dxfId="55" priority="13" operator="equal">
      <formula>#REF!</formula>
    </cfRule>
    <cfRule type="cellIs" dxfId="54" priority="14" operator="equal">
      <formula>#REF!</formula>
    </cfRule>
    <cfRule type="cellIs" dxfId="53" priority="15" operator="equal">
      <formula>#REF!</formula>
    </cfRule>
    <cfRule type="cellIs" dxfId="52" priority="16" operator="equal">
      <formula>#REF!</formula>
    </cfRule>
  </conditionalFormatting>
  <pageMargins left="0.7" right="0.7" top="0.75" bottom="0.75" header="0.3" footer="0.3"/>
  <ignoredErrors>
    <ignoredError sqref="C14:C2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0EB93-B177-4EBA-A470-4DBF6B0EAE00}">
  <sheetPr>
    <tabColor theme="6" tint="-0.249977111117893"/>
    <pageSetUpPr fitToPage="1"/>
  </sheetPr>
  <dimension ref="A1:G117"/>
  <sheetViews>
    <sheetView showGridLines="0" zoomScaleNormal="100" zoomScaleSheetLayoutView="90" workbookViewId="0">
      <selection activeCell="D14" sqref="D14"/>
    </sheetView>
  </sheetViews>
  <sheetFormatPr defaultColWidth="8.85546875" defaultRowHeight="23.25" customHeight="1"/>
  <cols>
    <col min="1" max="1" width="36.5703125" style="21" bestFit="1" customWidth="1"/>
    <col min="2" max="2" width="26.42578125" style="21" customWidth="1"/>
    <col min="3" max="3" width="22.42578125" style="21" bestFit="1" customWidth="1"/>
    <col min="4" max="4" width="17.42578125" style="21" customWidth="1"/>
    <col min="5" max="5" width="20.28515625" style="21" customWidth="1"/>
    <col min="6" max="6" width="8.85546875" style="21"/>
    <col min="7" max="7" width="9.7109375" style="21" bestFit="1" customWidth="1"/>
    <col min="8" max="16384" width="8.85546875" style="21"/>
  </cols>
  <sheetData>
    <row r="1" spans="1:7" ht="15" customHeight="1" thickBot="1">
      <c r="A1" s="1343" t="s">
        <v>168</v>
      </c>
      <c r="B1" s="1344"/>
      <c r="C1" s="1344"/>
      <c r="D1" s="1356" t="str">
        <f>'Development Program'!B11</f>
        <v>Upper Cascade Apts</v>
      </c>
      <c r="E1" s="1357"/>
    </row>
    <row r="2" spans="1:7" ht="12.75">
      <c r="A2" s="22"/>
      <c r="B2" s="23"/>
      <c r="C2" s="23"/>
      <c r="D2" s="277">
        <v>0</v>
      </c>
      <c r="E2" s="1144" t="s">
        <v>169</v>
      </c>
    </row>
    <row r="3" spans="1:7" ht="25.5">
      <c r="A3" s="24" t="s">
        <v>170</v>
      </c>
      <c r="B3" s="25" t="s">
        <v>171</v>
      </c>
      <c r="C3" s="65" t="s">
        <v>172</v>
      </c>
      <c r="D3" s="25" t="s">
        <v>173</v>
      </c>
      <c r="E3" s="26" t="s">
        <v>174</v>
      </c>
    </row>
    <row r="4" spans="1:7" ht="12.75">
      <c r="A4" s="719" t="s">
        <v>445</v>
      </c>
      <c r="B4" s="1044"/>
      <c r="C4" s="1045"/>
      <c r="D4" s="1044"/>
      <c r="E4" s="1046"/>
    </row>
    <row r="5" spans="1:7" ht="15" customHeight="1">
      <c r="A5" s="1151">
        <f>B5/B9</f>
        <v>0.25799086757990869</v>
      </c>
      <c r="B5" s="1149">
        <v>113</v>
      </c>
      <c r="C5" s="1149">
        <v>500</v>
      </c>
      <c r="D5" s="1150">
        <v>4.6500000000000004</v>
      </c>
      <c r="E5" s="1145">
        <f>12*B5*C5*D5</f>
        <v>3152700.0000000005</v>
      </c>
      <c r="G5" s="642">
        <f>D5*C5</f>
        <v>2325</v>
      </c>
    </row>
    <row r="6" spans="1:7" ht="15" customHeight="1">
      <c r="A6" s="1152">
        <f>B6/B9</f>
        <v>0.55022831050228316</v>
      </c>
      <c r="B6" s="1149">
        <v>241</v>
      </c>
      <c r="C6" s="1149">
        <v>700</v>
      </c>
      <c r="D6" s="1150">
        <v>3.8</v>
      </c>
      <c r="E6" s="1145">
        <f>12*B6*C6*D6</f>
        <v>7692720</v>
      </c>
      <c r="G6" s="642">
        <f t="shared" ref="G6:G8" si="0">D6*C6</f>
        <v>2660</v>
      </c>
    </row>
    <row r="7" spans="1:7" ht="15" customHeight="1">
      <c r="A7" s="1153">
        <f>B7/B9</f>
        <v>0.12785388127853881</v>
      </c>
      <c r="B7" s="1149">
        <v>56</v>
      </c>
      <c r="C7" s="1149">
        <v>1000</v>
      </c>
      <c r="D7" s="1150">
        <v>3.6</v>
      </c>
      <c r="E7" s="1145">
        <f t="shared" ref="E7" si="1">12*B7*C7*D7</f>
        <v>2419200</v>
      </c>
      <c r="G7" s="642">
        <f t="shared" si="0"/>
        <v>3600</v>
      </c>
    </row>
    <row r="8" spans="1:7" ht="15" customHeight="1">
      <c r="A8" s="1154">
        <f>B8/B9</f>
        <v>6.3926940639269403E-2</v>
      </c>
      <c r="B8" s="1149">
        <v>28</v>
      </c>
      <c r="C8" s="1149">
        <v>1200</v>
      </c>
      <c r="D8" s="1150">
        <v>3.55</v>
      </c>
      <c r="E8" s="1145">
        <f>12*B8*C8*D8</f>
        <v>1431360</v>
      </c>
      <c r="G8" s="642">
        <f t="shared" si="0"/>
        <v>4260</v>
      </c>
    </row>
    <row r="9" spans="1:7" ht="12.75">
      <c r="A9" s="1155" t="s">
        <v>446</v>
      </c>
      <c r="B9" s="1157">
        <f>SUM(B5:B8)</f>
        <v>438</v>
      </c>
      <c r="C9" s="1157">
        <f>+SUMPRODUCT(C5:C8,B5:B8)/B9</f>
        <v>718.72146118721457</v>
      </c>
      <c r="D9" s="1158">
        <f>+SUM(E5:E8)/(C9*B9)/12</f>
        <v>3.8902954256670905</v>
      </c>
      <c r="E9" s="1146"/>
    </row>
    <row r="10" spans="1:7" ht="12.75">
      <c r="A10" s="1156" t="s">
        <v>447</v>
      </c>
      <c r="B10" s="1049"/>
      <c r="C10" s="1045"/>
      <c r="D10" s="1044"/>
      <c r="E10" s="1147"/>
    </row>
    <row r="11" spans="1:7" ht="12.75">
      <c r="A11" s="1151">
        <f>B11/B15</f>
        <v>0.24489795918367346</v>
      </c>
      <c r="B11" s="1149">
        <f>125-113</f>
        <v>12</v>
      </c>
      <c r="C11" s="1149">
        <f>C5</f>
        <v>500</v>
      </c>
      <c r="D11" s="1150">
        <v>2.39</v>
      </c>
      <c r="E11" s="1145">
        <f t="shared" ref="E11:E14" si="2">12*B11*C11*D11</f>
        <v>172080</v>
      </c>
      <c r="G11" s="642">
        <f>D11*C11</f>
        <v>1195</v>
      </c>
    </row>
    <row r="12" spans="1:7" ht="12.75">
      <c r="A12" s="1152">
        <f>B12/B15</f>
        <v>0.55102040816326525</v>
      </c>
      <c r="B12" s="1149">
        <f>268-241</f>
        <v>27</v>
      </c>
      <c r="C12" s="1149">
        <f t="shared" ref="C12:C14" si="3">C6</f>
        <v>700</v>
      </c>
      <c r="D12" s="1150">
        <v>2.92</v>
      </c>
      <c r="E12" s="1145">
        <f t="shared" si="2"/>
        <v>662256</v>
      </c>
      <c r="G12" s="642">
        <f t="shared" ref="G12:G14" si="4">D12*C12</f>
        <v>2044</v>
      </c>
    </row>
    <row r="13" spans="1:7" ht="12.75">
      <c r="A13" s="1153">
        <f>B13/B15</f>
        <v>0.14285714285714285</v>
      </c>
      <c r="B13" s="1149">
        <f>63-56</f>
        <v>7</v>
      </c>
      <c r="C13" s="1149">
        <f t="shared" si="3"/>
        <v>1000</v>
      </c>
      <c r="D13" s="1150">
        <v>2.71</v>
      </c>
      <c r="E13" s="1145">
        <f t="shared" si="2"/>
        <v>227640</v>
      </c>
      <c r="G13" s="642">
        <f t="shared" si="4"/>
        <v>2710</v>
      </c>
    </row>
    <row r="14" spans="1:7" ht="21" customHeight="1">
      <c r="A14" s="1154">
        <f>B14/B15</f>
        <v>6.1224489795918366E-2</v>
      </c>
      <c r="B14" s="1149">
        <v>3</v>
      </c>
      <c r="C14" s="1149">
        <f t="shared" si="3"/>
        <v>1200</v>
      </c>
      <c r="D14" s="1150">
        <v>2.67</v>
      </c>
      <c r="E14" s="1145">
        <f t="shared" si="2"/>
        <v>115344</v>
      </c>
      <c r="G14" s="642">
        <f t="shared" si="4"/>
        <v>3204</v>
      </c>
    </row>
    <row r="15" spans="1:7" ht="13.5" thickBot="1">
      <c r="A15" s="727" t="s">
        <v>448</v>
      </c>
      <c r="B15" s="1157">
        <f>SUM(B11:B14)</f>
        <v>49</v>
      </c>
      <c r="C15" s="729">
        <f>SUMPRODUCT(C11:C14,B11:B14)/B15</f>
        <v>724.48979591836735</v>
      </c>
      <c r="D15" s="730"/>
      <c r="E15" s="1146"/>
    </row>
    <row r="16" spans="1:7" ht="14.25" thickTop="1" thickBot="1">
      <c r="A16" s="27" t="s">
        <v>449</v>
      </c>
      <c r="B16" s="28">
        <f>+B9+B15</f>
        <v>487</v>
      </c>
      <c r="C16" s="29">
        <f>B5*C5+B6*C6+B7*C7+B8*C8+B14*C14+B11*C11+B12*C12+B13*C13</f>
        <v>350300</v>
      </c>
      <c r="D16" s="1002"/>
      <c r="E16" s="1148">
        <f>SUM(E5:E15)</f>
        <v>15873300</v>
      </c>
    </row>
    <row r="17" spans="1:5" ht="14.25" thickTop="1" thickBot="1">
      <c r="A17" s="31" t="s">
        <v>177</v>
      </c>
      <c r="B17" s="965"/>
      <c r="C17" s="33">
        <f>C15</f>
        <v>724.48979591836735</v>
      </c>
      <c r="D17" s="34">
        <f>E16/C16/12</f>
        <v>3.7761204681701397</v>
      </c>
      <c r="E17" s="964"/>
    </row>
    <row r="18" spans="1:5" ht="12.75">
      <c r="A18" s="36"/>
      <c r="B18" s="37"/>
      <c r="C18" s="38"/>
      <c r="D18" s="39"/>
    </row>
    <row r="19" spans="1:5" ht="12.75">
      <c r="A19" s="24" t="s">
        <v>178</v>
      </c>
      <c r="B19" s="25" t="s">
        <v>179</v>
      </c>
      <c r="C19" s="25" t="s">
        <v>180</v>
      </c>
      <c r="D19" s="25" t="s">
        <v>174</v>
      </c>
    </row>
    <row r="20" spans="1:5" ht="12.75">
      <c r="A20" s="736" t="s">
        <v>466</v>
      </c>
      <c r="B20" s="737">
        <v>61453</v>
      </c>
      <c r="C20" s="738">
        <f>[13]Assumptions!I12</f>
        <v>37</v>
      </c>
      <c r="D20" s="291">
        <f>B20*C20</f>
        <v>2273761</v>
      </c>
    </row>
    <row r="21" spans="1:5" ht="13.5" thickBot="1">
      <c r="A21" s="40" t="s">
        <v>181</v>
      </c>
      <c r="B21" s="560">
        <f>SUM(B20:B20)</f>
        <v>61453</v>
      </c>
      <c r="C21" s="42">
        <f>IF(B21=0,0,D21/B21)</f>
        <v>37</v>
      </c>
      <c r="D21" s="43">
        <f>SUM(D20:D20)</f>
        <v>2273761</v>
      </c>
      <c r="E21" s="44"/>
    </row>
    <row r="22" spans="1:5" ht="14.25" thickTop="1" thickBot="1">
      <c r="A22" s="27" t="s">
        <v>176</v>
      </c>
      <c r="B22" s="28">
        <f>B16</f>
        <v>487</v>
      </c>
      <c r="C22" s="29">
        <f>C16+B20</f>
        <v>411753</v>
      </c>
      <c r="D22" s="1002"/>
      <c r="E22" s="288">
        <f>E16+D21</f>
        <v>18147061</v>
      </c>
    </row>
    <row r="23" spans="1:5" ht="14.25" thickTop="1" thickBot="1">
      <c r="A23" s="31" t="s">
        <v>177</v>
      </c>
      <c r="B23" s="965"/>
      <c r="C23" s="33">
        <f>C22/B22</f>
        <v>845.48870636550305</v>
      </c>
      <c r="D23" s="34">
        <f>(E22/12)/C22</f>
        <v>3.6727238983889205</v>
      </c>
      <c r="E23" s="1003"/>
    </row>
    <row r="24" spans="1:5" ht="12.75">
      <c r="A24" s="748" t="s">
        <v>182</v>
      </c>
      <c r="B24" s="749"/>
    </row>
    <row r="25" spans="1:5" ht="12.75">
      <c r="A25" s="256" t="s">
        <v>183</v>
      </c>
      <c r="B25" s="298">
        <f>B22</f>
        <v>487</v>
      </c>
      <c r="C25" s="45"/>
      <c r="D25" s="46"/>
    </row>
    <row r="26" spans="1:5" ht="13.5" thickBot="1">
      <c r="A26" s="263" t="s">
        <v>184</v>
      </c>
      <c r="B26" s="298">
        <f>B21/1000</f>
        <v>61.453000000000003</v>
      </c>
      <c r="C26" s="45"/>
      <c r="D26" s="46"/>
    </row>
    <row r="27" spans="1:5" ht="14.25" thickTop="1" thickBot="1">
      <c r="A27" s="47" t="s">
        <v>185</v>
      </c>
      <c r="B27" s="48">
        <f>B25+B26</f>
        <v>548.45299999999997</v>
      </c>
      <c r="C27" s="45"/>
      <c r="D27" s="46"/>
    </row>
    <row r="28" spans="1:5" ht="12.75">
      <c r="A28" s="748" t="s">
        <v>186</v>
      </c>
      <c r="B28" s="768" t="str">
        <f>D1</f>
        <v>Upper Cascade Apts</v>
      </c>
      <c r="C28" s="49"/>
      <c r="D28" s="49"/>
      <c r="E28" s="49"/>
    </row>
    <row r="29" spans="1:5" ht="12.75">
      <c r="A29" s="301" t="s">
        <v>187</v>
      </c>
      <c r="B29" s="302">
        <f>'[13]Development Program'!D7</f>
        <v>59242</v>
      </c>
      <c r="C29" s="50"/>
      <c r="D29" s="51"/>
      <c r="E29" s="49"/>
    </row>
    <row r="30" spans="1:5" ht="12.75">
      <c r="A30" s="301" t="s">
        <v>188</v>
      </c>
      <c r="B30" s="302">
        <f>C22</f>
        <v>411753</v>
      </c>
      <c r="C30" s="50"/>
      <c r="D30" s="51"/>
      <c r="E30" s="49"/>
    </row>
    <row r="31" spans="1:5" ht="12.75">
      <c r="A31" s="303">
        <f>[13]Assumptions!D30</f>
        <v>400</v>
      </c>
      <c r="B31" s="302">
        <f>B27*A31</f>
        <v>219381.19999999998</v>
      </c>
      <c r="C31" s="50"/>
      <c r="D31" s="51"/>
      <c r="E31" s="49"/>
    </row>
    <row r="32" spans="1:5" ht="12.75">
      <c r="A32" s="431">
        <v>0.2</v>
      </c>
      <c r="B32" s="302">
        <f>(1+A32)*(B30+B31)</f>
        <v>757361.03999999992</v>
      </c>
      <c r="C32" s="50"/>
      <c r="D32" s="51"/>
      <c r="E32" s="49"/>
    </row>
    <row r="33" spans="1:5" ht="13.5" thickBot="1">
      <c r="A33" s="432">
        <v>10</v>
      </c>
      <c r="B33" s="306">
        <f>B32/A33</f>
        <v>75736.103999999992</v>
      </c>
      <c r="C33" s="50"/>
      <c r="D33" s="51"/>
      <c r="E33" s="49"/>
    </row>
    <row r="34" spans="1:5" ht="15" customHeight="1" thickBot="1">
      <c r="A34" s="1286" t="s">
        <v>189</v>
      </c>
      <c r="B34" s="1287"/>
      <c r="C34" s="1358" t="str">
        <f>'Development Program'!B26</f>
        <v>Lower Cascade Apts</v>
      </c>
      <c r="D34" s="1259"/>
      <c r="E34" s="49"/>
    </row>
    <row r="35" spans="1:5" ht="14.45" customHeight="1" thickBot="1">
      <c r="A35" s="1082" t="s">
        <v>190</v>
      </c>
      <c r="B35" s="1159" t="s">
        <v>191</v>
      </c>
      <c r="C35" s="1159" t="s">
        <v>192</v>
      </c>
      <c r="D35" s="1095" t="s">
        <v>193</v>
      </c>
      <c r="E35" s="49"/>
    </row>
    <row r="36" spans="1:5" ht="31.35" customHeight="1">
      <c r="A36" s="310" t="s">
        <v>194</v>
      </c>
      <c r="B36" s="1008">
        <f>D36/B22</f>
        <v>32594.045174537987</v>
      </c>
      <c r="C36" s="1009">
        <f>D36/C22</f>
        <v>38.55053879388857</v>
      </c>
      <c r="D36" s="1160">
        <f>E16</f>
        <v>15873300</v>
      </c>
      <c r="E36" s="49"/>
    </row>
    <row r="37" spans="1:5" ht="12.75">
      <c r="A37" s="313">
        <f>B21</f>
        <v>61453</v>
      </c>
      <c r="B37" s="1296" t="s">
        <v>195</v>
      </c>
      <c r="C37" s="1296"/>
      <c r="D37" s="1020">
        <f>D21</f>
        <v>2273761</v>
      </c>
      <c r="E37" s="49"/>
    </row>
    <row r="38" spans="1:5" ht="12.75">
      <c r="A38" s="1087"/>
      <c r="B38" s="1332" t="s">
        <v>196</v>
      </c>
      <c r="C38" s="1332"/>
      <c r="D38" s="1088">
        <f>SUM(D36:D37)</f>
        <v>18147061</v>
      </c>
      <c r="E38" s="49"/>
    </row>
    <row r="39" spans="1:5" ht="12.75">
      <c r="A39" s="1062" t="s">
        <v>197</v>
      </c>
      <c r="B39" s="315" t="s">
        <v>198</v>
      </c>
      <c r="C39" s="315" t="s">
        <v>199</v>
      </c>
      <c r="D39" s="1088"/>
      <c r="E39" s="49"/>
    </row>
    <row r="40" spans="1:5" ht="12.75">
      <c r="A40" s="1087" t="s">
        <v>278</v>
      </c>
      <c r="B40" s="317">
        <v>300</v>
      </c>
      <c r="C40" s="318">
        <f>D40/C22</f>
        <v>4.7951825487610282</v>
      </c>
      <c r="D40" s="1020">
        <f>B40*B27*12</f>
        <v>1974430.7999999998</v>
      </c>
      <c r="E40" s="49"/>
    </row>
    <row r="41" spans="1:5" ht="12.75">
      <c r="A41" s="1087" t="s">
        <v>201</v>
      </c>
      <c r="B41" s="317">
        <f>D41/B22</f>
        <v>2698.1519507186858</v>
      </c>
      <c r="C41" s="318">
        <f>D41/C22</f>
        <v>3.1912335793546132</v>
      </c>
      <c r="D41" s="1020">
        <f>B9*[13]Assumptions!D38*12</f>
        <v>1314000</v>
      </c>
      <c r="E41" s="49"/>
    </row>
    <row r="42" spans="1:5" ht="13.5" thickBot="1">
      <c r="A42" s="54" t="s">
        <v>202</v>
      </c>
      <c r="B42" s="1341"/>
      <c r="C42" s="1342"/>
      <c r="D42" s="55">
        <f>SUM(D40:D41)</f>
        <v>3288430.8</v>
      </c>
      <c r="E42" s="49"/>
    </row>
    <row r="43" spans="1:5" ht="14.25" thickTop="1" thickBot="1">
      <c r="A43" s="56">
        <v>0.05</v>
      </c>
      <c r="B43" s="1348"/>
      <c r="C43" s="1349"/>
      <c r="D43" s="57">
        <f>-A43*D38</f>
        <v>-907353.05</v>
      </c>
      <c r="E43" s="49"/>
    </row>
    <row r="44" spans="1:5" ht="14.25" thickTop="1" thickBot="1">
      <c r="A44" s="319" t="s">
        <v>203</v>
      </c>
      <c r="B44" s="58">
        <f>D44/B22</f>
        <v>42152.235626283371</v>
      </c>
      <c r="C44" s="320">
        <f>D44/C22</f>
        <v>49.855468569749341</v>
      </c>
      <c r="D44" s="59">
        <f>D38+D42+D43</f>
        <v>20528138.75</v>
      </c>
      <c r="E44" s="49"/>
    </row>
    <row r="45" spans="1:5" ht="13.5" thickBot="1">
      <c r="A45" s="888" t="s">
        <v>204</v>
      </c>
      <c r="B45" s="889" t="s">
        <v>191</v>
      </c>
      <c r="C45" s="889" t="s">
        <v>205</v>
      </c>
      <c r="D45" s="891" t="s">
        <v>193</v>
      </c>
      <c r="E45" s="49"/>
    </row>
    <row r="46" spans="1:5" ht="13.5" thickBot="1">
      <c r="A46" s="61" t="s">
        <v>206</v>
      </c>
      <c r="B46" s="62">
        <f>D46/B22</f>
        <v>-13042.035626283367</v>
      </c>
      <c r="C46" s="62">
        <f>D46/C22</f>
        <v>-15.425440373233467</v>
      </c>
      <c r="D46" s="62">
        <f>-0.35*D38</f>
        <v>-6351471.3499999996</v>
      </c>
      <c r="E46" s="49"/>
    </row>
    <row r="47" spans="1:5" ht="13.5" thickBot="1">
      <c r="A47" s="1089" t="s">
        <v>207</v>
      </c>
      <c r="B47" s="1090">
        <f>D47/B22</f>
        <v>29110.2</v>
      </c>
      <c r="C47" s="1091"/>
      <c r="D47" s="1092">
        <f>D44+D46</f>
        <v>14176667.4</v>
      </c>
      <c r="E47" s="49"/>
    </row>
    <row r="48" spans="1:5" ht="13.5" thickBot="1">
      <c r="A48" s="1125" t="s">
        <v>208</v>
      </c>
      <c r="B48" s="63" t="s">
        <v>209</v>
      </c>
      <c r="C48" s="64">
        <v>4.7500000000000001E-2</v>
      </c>
      <c r="D48" s="325">
        <f>D47/C48</f>
        <v>298456155.78947371</v>
      </c>
      <c r="E48" s="49"/>
    </row>
    <row r="49" spans="1:5" ht="13.5" thickBot="1">
      <c r="A49" s="1319" t="s">
        <v>210</v>
      </c>
      <c r="B49" s="1320"/>
      <c r="C49" s="1359" t="str">
        <f>'Development Program'!B26</f>
        <v>Lower Cascade Apts</v>
      </c>
      <c r="D49" s="1322"/>
    </row>
    <row r="50" spans="1:5" ht="13.5" thickBot="1">
      <c r="A50" s="1161"/>
      <c r="B50" s="890" t="s">
        <v>211</v>
      </c>
      <c r="C50" s="890" t="s">
        <v>212</v>
      </c>
      <c r="D50" s="1127" t="s">
        <v>191</v>
      </c>
    </row>
    <row r="51" spans="1:5" ht="12.75">
      <c r="A51" s="1191" t="s">
        <v>213</v>
      </c>
      <c r="B51" s="1122">
        <f>Assumptions!I24</f>
        <v>248</v>
      </c>
      <c r="C51" s="1164">
        <f>B51*C22</f>
        <v>102114744</v>
      </c>
      <c r="D51" s="329">
        <f>C51/$B$22</f>
        <v>209681.19917864478</v>
      </c>
    </row>
    <row r="52" spans="1:5" ht="12.75">
      <c r="A52" s="625" t="s">
        <v>292</v>
      </c>
      <c r="B52" s="1162">
        <f>Assumptions!D30</f>
        <v>36000</v>
      </c>
      <c r="C52" s="807">
        <f>B52*B27</f>
        <v>19744308</v>
      </c>
      <c r="D52" s="1163">
        <f t="shared" ref="D52:D72" si="5">C52/$B$22</f>
        <v>40542.726899383983</v>
      </c>
    </row>
    <row r="53" spans="1:5" ht="12.75">
      <c r="A53" s="625" t="s">
        <v>59</v>
      </c>
      <c r="B53" s="796">
        <v>0.1</v>
      </c>
      <c r="C53" s="1011">
        <f>B53*C51</f>
        <v>10211474.4</v>
      </c>
      <c r="D53" s="317">
        <f t="shared" si="5"/>
        <v>20968.119917864478</v>
      </c>
    </row>
    <row r="54" spans="1:5" ht="12.75">
      <c r="A54" s="625" t="s">
        <v>11</v>
      </c>
      <c r="B54" s="1069">
        <v>8</v>
      </c>
      <c r="C54" s="807">
        <f>B54*120000</f>
        <v>960000</v>
      </c>
      <c r="D54" s="317">
        <f t="shared" si="5"/>
        <v>1971.2525667351129</v>
      </c>
    </row>
    <row r="55" spans="1:5" ht="12.75">
      <c r="A55" s="625" t="s">
        <v>215</v>
      </c>
      <c r="B55" s="1076" t="s">
        <v>279</v>
      </c>
      <c r="C55" s="1011">
        <f>'Market Research'!U10</f>
        <v>55600000</v>
      </c>
      <c r="D55" s="317">
        <f t="shared" si="5"/>
        <v>114168.37782340862</v>
      </c>
    </row>
    <row r="56" spans="1:5" ht="12.75">
      <c r="A56" s="625" t="s">
        <v>62</v>
      </c>
      <c r="B56" s="801">
        <v>1500</v>
      </c>
      <c r="C56" s="1011">
        <f>B56*B16</f>
        <v>730500</v>
      </c>
      <c r="D56" s="317">
        <f t="shared" si="5"/>
        <v>1500</v>
      </c>
    </row>
    <row r="57" spans="1:5" ht="12.75">
      <c r="A57" s="625" t="s">
        <v>217</v>
      </c>
      <c r="B57" s="802" t="s">
        <v>218</v>
      </c>
      <c r="C57" s="1011">
        <f>'Development Program'!F20</f>
        <v>4000000</v>
      </c>
      <c r="D57" s="317">
        <f t="shared" si="5"/>
        <v>8213.5523613963032</v>
      </c>
    </row>
    <row r="58" spans="1:5" ht="12.75">
      <c r="A58" s="1192" t="s">
        <v>66</v>
      </c>
      <c r="B58" s="1077" t="s">
        <v>67</v>
      </c>
      <c r="C58" s="807">
        <v>500000</v>
      </c>
      <c r="D58" s="317">
        <f t="shared" si="5"/>
        <v>1026.6940451745379</v>
      </c>
    </row>
    <row r="59" spans="1:5" ht="12.75">
      <c r="A59" s="1192" t="s">
        <v>68</v>
      </c>
      <c r="B59" s="803">
        <v>0.01</v>
      </c>
      <c r="C59" s="807">
        <f>B59*C55</f>
        <v>556000</v>
      </c>
      <c r="D59" s="317">
        <f t="shared" si="5"/>
        <v>1141.6837782340863</v>
      </c>
      <c r="E59" s="68"/>
    </row>
    <row r="60" spans="1:5" ht="12.75">
      <c r="A60" s="1192" t="s">
        <v>69</v>
      </c>
      <c r="B60" s="798">
        <v>2.5000000000000001E-2</v>
      </c>
      <c r="C60" s="807">
        <f>B60*(C51+C53)</f>
        <v>2808155.4600000004</v>
      </c>
      <c r="D60" s="317">
        <f t="shared" si="5"/>
        <v>5766.232977412732</v>
      </c>
    </row>
    <row r="61" spans="1:5" ht="12.75">
      <c r="A61" s="1192" t="s">
        <v>71</v>
      </c>
      <c r="B61" s="804">
        <v>0.03</v>
      </c>
      <c r="C61" s="807">
        <f>B61*SUM(C51:C60)</f>
        <v>5916755.4558000006</v>
      </c>
      <c r="D61" s="317">
        <f t="shared" si="5"/>
        <v>12149.39518644764</v>
      </c>
    </row>
    <row r="62" spans="1:5" ht="12.75">
      <c r="A62" s="1192" t="s">
        <v>73</v>
      </c>
      <c r="B62" s="798">
        <v>0.02</v>
      </c>
      <c r="C62" s="807">
        <f>B62*(C51+C53)</f>
        <v>2246524.3680000002</v>
      </c>
      <c r="D62" s="317">
        <f t="shared" si="5"/>
        <v>4612.9863819301854</v>
      </c>
    </row>
    <row r="63" spans="1:5" ht="12.75">
      <c r="A63" s="1192" t="s">
        <v>219</v>
      </c>
      <c r="B63" s="798" t="s">
        <v>444</v>
      </c>
      <c r="C63" s="807">
        <f>0.00883*C55*2</f>
        <v>981895.99999999988</v>
      </c>
      <c r="D63" s="317">
        <f t="shared" si="5"/>
        <v>2016.2135523613961</v>
      </c>
    </row>
    <row r="64" spans="1:5" ht="12.75">
      <c r="A64" s="1192" t="s">
        <v>77</v>
      </c>
      <c r="B64" s="1069">
        <v>1</v>
      </c>
      <c r="C64" s="807">
        <f>B64*C22</f>
        <v>411753</v>
      </c>
      <c r="D64" s="317">
        <f t="shared" si="5"/>
        <v>845.48870636550305</v>
      </c>
    </row>
    <row r="65" spans="1:5" ht="12.75">
      <c r="A65" s="1192" t="s">
        <v>79</v>
      </c>
      <c r="B65" s="1069">
        <v>1</v>
      </c>
      <c r="C65" s="807">
        <f>B65*C22</f>
        <v>411753</v>
      </c>
      <c r="D65" s="317">
        <f t="shared" si="5"/>
        <v>845.48870636550305</v>
      </c>
    </row>
    <row r="66" spans="1:5" ht="12.75">
      <c r="A66" s="1192" t="s">
        <v>296</v>
      </c>
      <c r="B66" s="799" t="s">
        <v>477</v>
      </c>
      <c r="C66" s="807">
        <v>1525000</v>
      </c>
      <c r="D66" s="317">
        <f t="shared" si="5"/>
        <v>3131.4168377823407</v>
      </c>
      <c r="E66" s="74"/>
    </row>
    <row r="67" spans="1:5" ht="12.75">
      <c r="A67" s="1192" t="s">
        <v>220</v>
      </c>
      <c r="B67" s="800">
        <v>75</v>
      </c>
      <c r="C67" s="807">
        <f>B67*B20</f>
        <v>4608975</v>
      </c>
      <c r="D67" s="317">
        <f t="shared" si="5"/>
        <v>9464.0143737166327</v>
      </c>
    </row>
    <row r="68" spans="1:5" ht="12.75">
      <c r="A68" s="1192" t="s">
        <v>221</v>
      </c>
      <c r="B68" s="805">
        <v>0.06</v>
      </c>
      <c r="C68" s="807">
        <f>B68*5*D37</f>
        <v>682128.29999999993</v>
      </c>
      <c r="D68" s="317">
        <f t="shared" si="5"/>
        <v>1400.6741273100615</v>
      </c>
    </row>
    <row r="69" spans="1:5" ht="12.75">
      <c r="A69" s="1192" t="s">
        <v>83</v>
      </c>
      <c r="B69" s="806">
        <v>1.4999999999999999E-2</v>
      </c>
      <c r="C69" s="807">
        <v>2183295</v>
      </c>
      <c r="D69" s="317">
        <f t="shared" si="5"/>
        <v>4483.1519507186858</v>
      </c>
      <c r="E69" s="74">
        <f>B69*B82</f>
        <v>2124696.5278542005</v>
      </c>
    </row>
    <row r="70" spans="1:5" ht="12.75">
      <c r="A70" s="1193" t="s">
        <v>84</v>
      </c>
      <c r="B70" s="1074">
        <v>7.0000000000000007E-2</v>
      </c>
      <c r="C70" s="807">
        <v>10171490</v>
      </c>
      <c r="D70" s="317">
        <f t="shared" si="5"/>
        <v>20886.016427104722</v>
      </c>
      <c r="E70" s="777">
        <f>B70*B82</f>
        <v>9915250.4633196015</v>
      </c>
    </row>
    <row r="71" spans="1:5" ht="13.5" thickBot="1">
      <c r="A71" s="1195" t="s">
        <v>223</v>
      </c>
      <c r="B71" s="1075" t="s">
        <v>442</v>
      </c>
      <c r="C71" s="1012">
        <v>9712640</v>
      </c>
      <c r="D71" s="336">
        <f t="shared" si="5"/>
        <v>19943.819301848049</v>
      </c>
      <c r="E71" s="717" t="s">
        <v>280</v>
      </c>
    </row>
    <row r="72" spans="1:5" ht="14.25" thickTop="1" thickBot="1">
      <c r="A72" s="337" t="s">
        <v>224</v>
      </c>
      <c r="B72" s="338"/>
      <c r="C72" s="808">
        <f>SUM(C51:C71)</f>
        <v>236077391.98380002</v>
      </c>
      <c r="D72" s="72">
        <f t="shared" si="5"/>
        <v>484758.50510020537</v>
      </c>
    </row>
    <row r="73" spans="1:5" ht="12.75">
      <c r="A73" s="339" t="s">
        <v>225</v>
      </c>
      <c r="B73" s="340">
        <f>D47/C72</f>
        <v>6.005093194596467E-2</v>
      </c>
    </row>
    <row r="74" spans="1:5" ht="12.75">
      <c r="A74" s="341" t="s">
        <v>226</v>
      </c>
      <c r="B74" s="342">
        <f>(D48/C72)-1</f>
        <v>0.26423014623083518</v>
      </c>
      <c r="C74" s="73"/>
      <c r="D74" s="74"/>
    </row>
    <row r="75" spans="1:5" ht="13.5" thickBot="1">
      <c r="A75" s="343">
        <v>0.3</v>
      </c>
      <c r="B75" s="344">
        <f>(D48/(1+A75))</f>
        <v>229581658.29959515</v>
      </c>
    </row>
    <row r="76" spans="1:5" ht="13.5" thickBot="1">
      <c r="A76" s="446">
        <v>0.3</v>
      </c>
      <c r="B76" s="344">
        <f>ROUND((D48/(1+A76))-C72,-3)</f>
        <v>-6496000</v>
      </c>
      <c r="C76" s="75" t="s">
        <v>227</v>
      </c>
    </row>
    <row r="77" spans="1:5" ht="13.5" thickBot="1">
      <c r="A77" s="76"/>
      <c r="B77" s="77"/>
    </row>
    <row r="78" spans="1:5" ht="13.5" thickBot="1">
      <c r="A78" s="1314" t="s">
        <v>228</v>
      </c>
      <c r="B78" s="1315"/>
      <c r="C78" s="447" t="str">
        <f>'Development Program'!B26</f>
        <v>Lower Cascade Apts</v>
      </c>
    </row>
    <row r="79" spans="1:5" ht="13.5" thickBot="1">
      <c r="A79" s="347"/>
      <c r="B79" s="348" t="s">
        <v>229</v>
      </c>
      <c r="C79" s="349" t="s">
        <v>191</v>
      </c>
    </row>
    <row r="80" spans="1:5" ht="12.75">
      <c r="A80" s="78" t="s">
        <v>230</v>
      </c>
      <c r="B80" s="79">
        <f>IF(B76&lt;0,B76,0)</f>
        <v>-6496000</v>
      </c>
      <c r="C80" s="288">
        <f>B80/$B$22</f>
        <v>-13338.809034907597</v>
      </c>
    </row>
    <row r="81" spans="1:5" ht="12.75">
      <c r="A81" s="80" t="s">
        <v>231</v>
      </c>
      <c r="B81" s="79">
        <f>C72+B80</f>
        <v>229581391.98380002</v>
      </c>
      <c r="C81" s="288">
        <f t="shared" ref="C81:C84" si="6">B81/$B$22</f>
        <v>471419.69606529782</v>
      </c>
    </row>
    <row r="82" spans="1:5" ht="12.75">
      <c r="A82" s="448">
        <f>Assumptions!K17</f>
        <v>0.6</v>
      </c>
      <c r="B82" s="329">
        <f>A82*C72</f>
        <v>141646435.19028002</v>
      </c>
      <c r="C82" s="288">
        <f t="shared" si="6"/>
        <v>290855.10306012322</v>
      </c>
    </row>
    <row r="83" spans="1:5" ht="13.5" thickBot="1">
      <c r="A83" s="351">
        <f>1-A82</f>
        <v>0.4</v>
      </c>
      <c r="B83" s="329">
        <f>A83*C72</f>
        <v>94430956.793520018</v>
      </c>
      <c r="C83" s="288">
        <f t="shared" si="6"/>
        <v>193903.40204008218</v>
      </c>
      <c r="D83" s="74"/>
    </row>
    <row r="84" spans="1:5" ht="13.5" thickTop="1">
      <c r="A84" s="126" t="s">
        <v>232</v>
      </c>
      <c r="B84" s="709">
        <f>B82+B83</f>
        <v>236077391.98380005</v>
      </c>
      <c r="C84" s="288">
        <f t="shared" si="6"/>
        <v>484758.50510020542</v>
      </c>
    </row>
    <row r="85" spans="1:5" ht="13.5" thickBot="1">
      <c r="A85" s="354"/>
      <c r="B85" s="212"/>
      <c r="C85" s="355"/>
    </row>
    <row r="86" spans="1:5" ht="13.5" thickBot="1">
      <c r="A86" s="1292" t="s">
        <v>233</v>
      </c>
      <c r="B86" s="1293"/>
      <c r="C86" s="450" t="str">
        <f>'Development Program'!B26</f>
        <v>Lower Cascade Apts</v>
      </c>
    </row>
    <row r="87" spans="1:5" ht="13.5" thickBot="1">
      <c r="A87" s="83"/>
      <c r="B87" s="356" t="s">
        <v>234</v>
      </c>
      <c r="C87" s="356"/>
    </row>
    <row r="88" spans="1:5" ht="12.75">
      <c r="A88" s="357" t="s">
        <v>235</v>
      </c>
      <c r="B88" s="358">
        <f>ROUND(D48,-2)</f>
        <v>298456200</v>
      </c>
      <c r="C88" s="359"/>
    </row>
    <row r="89" spans="1:5" ht="13.5" thickBot="1">
      <c r="A89" s="451">
        <v>0.02</v>
      </c>
      <c r="B89" s="361">
        <f>(-ROUND(A89*B88,-2))</f>
        <v>-5969100</v>
      </c>
      <c r="C89" s="362"/>
    </row>
    <row r="90" spans="1:5" ht="14.25" thickTop="1" thickBot="1">
      <c r="A90" s="363" t="s">
        <v>236</v>
      </c>
      <c r="B90" s="236">
        <f>B88+B89</f>
        <v>292487100</v>
      </c>
      <c r="C90" s="84"/>
      <c r="E90" s="85"/>
    </row>
    <row r="91" spans="1:5" ht="12.75">
      <c r="A91" s="357" t="s">
        <v>237</v>
      </c>
      <c r="B91" s="358">
        <f>-B82</f>
        <v>-141646435.19028002</v>
      </c>
      <c r="C91" s="359"/>
    </row>
    <row r="92" spans="1:5" ht="13.5" thickBot="1">
      <c r="A92" s="364" t="s">
        <v>238</v>
      </c>
      <c r="B92" s="365">
        <f>-B83</f>
        <v>-94430956.793520018</v>
      </c>
      <c r="C92" s="362"/>
    </row>
    <row r="93" spans="1:5" ht="14.25" thickTop="1" thickBot="1">
      <c r="A93" s="135" t="s">
        <v>239</v>
      </c>
      <c r="B93" s="237">
        <f>ROUND(B90+B91+B92,-2)</f>
        <v>56409700</v>
      </c>
      <c r="C93" s="86"/>
      <c r="D93" s="87"/>
    </row>
    <row r="94" spans="1:5" ht="13.5" thickBot="1">
      <c r="A94" s="1277" t="s">
        <v>240</v>
      </c>
      <c r="B94" s="1278"/>
      <c r="C94" s="1279"/>
    </row>
    <row r="95" spans="1:5" ht="12.75">
      <c r="A95" s="366" t="s">
        <v>241</v>
      </c>
      <c r="B95" s="367">
        <f>ROUND((B88)/B22,-2)</f>
        <v>612800</v>
      </c>
      <c r="C95" s="367"/>
    </row>
    <row r="96" spans="1:5" ht="13.5" thickBot="1">
      <c r="A96" s="368" t="s">
        <v>242</v>
      </c>
      <c r="B96" s="369">
        <f>B90/B22</f>
        <v>600589.52772073925</v>
      </c>
      <c r="C96" s="369"/>
    </row>
    <row r="97" spans="1:4" ht="12.75">
      <c r="A97" s="1280" t="s">
        <v>243</v>
      </c>
      <c r="B97" s="1281"/>
      <c r="C97" s="1282"/>
    </row>
    <row r="98" spans="1:4" ht="13.5" thickBot="1">
      <c r="A98" s="354"/>
      <c r="B98" s="88"/>
      <c r="C98" s="88"/>
    </row>
    <row r="99" spans="1:4" ht="12.75">
      <c r="A99" s="89"/>
      <c r="B99" s="356" t="s">
        <v>234</v>
      </c>
      <c r="C99" s="356"/>
    </row>
    <row r="100" spans="1:4" ht="12.75">
      <c r="A100" s="370" t="s">
        <v>244</v>
      </c>
      <c r="B100" s="371">
        <f>(B93+B83)/B83</f>
        <v>1.5973644863447038</v>
      </c>
      <c r="C100" s="371"/>
    </row>
    <row r="101" spans="1:4" ht="12.75">
      <c r="A101" s="372" t="s">
        <v>245</v>
      </c>
      <c r="B101" s="165">
        <f>'Upper Cascade Draw '!B39</f>
        <v>0.11413304531085666</v>
      </c>
      <c r="C101" s="165"/>
      <c r="D101" s="90"/>
    </row>
    <row r="102" spans="1:4" ht="12.75">
      <c r="A102" s="372" t="s">
        <v>246</v>
      </c>
      <c r="B102" s="165">
        <f>'Upper Cascade Draw '!B44</f>
        <v>7.2173342141262919E-2</v>
      </c>
      <c r="C102" s="165"/>
      <c r="D102" s="90"/>
    </row>
    <row r="103" spans="1:4" ht="12.75">
      <c r="A103" s="370" t="s">
        <v>247</v>
      </c>
      <c r="B103" s="373">
        <f>D47/B82</f>
        <v>0.10008488657660777</v>
      </c>
      <c r="C103" s="373"/>
    </row>
    <row r="104" spans="1:4" ht="12.75">
      <c r="A104" s="370" t="s">
        <v>248</v>
      </c>
      <c r="B104" s="374">
        <f>C48</f>
        <v>4.7500000000000001E-2</v>
      </c>
      <c r="C104" s="374"/>
    </row>
    <row r="105" spans="1:4" ht="12.75"/>
    <row r="106" spans="1:4" ht="12.75"/>
    <row r="107" spans="1:4" ht="12.75"/>
    <row r="108" spans="1:4" ht="12.75"/>
    <row r="109" spans="1:4" ht="12.75"/>
    <row r="110" spans="1:4" ht="12.75"/>
    <row r="111" spans="1:4" ht="12.75"/>
    <row r="112" spans="1:4" ht="12.75"/>
    <row r="117" spans="1:4" ht="23.25" customHeight="1">
      <c r="A117" s="166"/>
      <c r="B117" s="166"/>
      <c r="C117" s="166"/>
      <c r="D117" s="46"/>
    </row>
  </sheetData>
  <mergeCells count="14">
    <mergeCell ref="A78:B78"/>
    <mergeCell ref="A86:B86"/>
    <mergeCell ref="A94:C94"/>
    <mergeCell ref="A97:C97"/>
    <mergeCell ref="B42:C42"/>
    <mergeCell ref="B43:C43"/>
    <mergeCell ref="A49:B49"/>
    <mergeCell ref="C49:D49"/>
    <mergeCell ref="B38:C38"/>
    <mergeCell ref="A1:C1"/>
    <mergeCell ref="D1:E1"/>
    <mergeCell ref="A34:B34"/>
    <mergeCell ref="C34:D34"/>
    <mergeCell ref="B37:C37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42" max="8" man="1"/>
    <brk id="60" max="8" man="1"/>
    <brk id="90" max="8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75B2-C0AD-4858-9F5D-2C5EE0CF3F8E}">
  <sheetPr>
    <tabColor rgb="FF0070C0"/>
  </sheetPr>
  <dimension ref="A1:AA599"/>
  <sheetViews>
    <sheetView zoomScaleNormal="100" zoomScalePageLayoutView="125" workbookViewId="0">
      <pane xSplit="1" ySplit="4" topLeftCell="B17" activePane="bottomRight" state="frozen"/>
      <selection activeCell="D39" sqref="D39"/>
      <selection pane="topRight" activeCell="D39" sqref="D39"/>
      <selection pane="bottomLeft" activeCell="D39" sqref="D39"/>
      <selection pane="bottomRight" activeCell="C37" sqref="C37"/>
    </sheetView>
  </sheetViews>
  <sheetFormatPr defaultColWidth="8.85546875" defaultRowHeight="12.75"/>
  <cols>
    <col min="1" max="1" width="45.5703125" style="21" customWidth="1"/>
    <col min="2" max="2" width="14.85546875" style="21" customWidth="1"/>
    <col min="3" max="3" width="18.140625" style="21" customWidth="1"/>
    <col min="4" max="4" width="15.5703125" style="21" customWidth="1"/>
    <col min="5" max="5" width="17.140625" style="21" bestFit="1" customWidth="1"/>
    <col min="6" max="6" width="17.85546875" style="21" customWidth="1"/>
    <col min="7" max="7" width="14.42578125" style="139" customWidth="1"/>
    <col min="8" max="8" width="19" style="21" customWidth="1"/>
    <col min="9" max="9" width="15.5703125" style="21" customWidth="1"/>
    <col min="10" max="10" width="16.42578125" style="21" customWidth="1"/>
    <col min="11" max="11" width="17.5703125" style="21" customWidth="1"/>
    <col min="12" max="12" width="14.140625" style="21" customWidth="1"/>
    <col min="13" max="13" width="14.42578125" style="21" customWidth="1"/>
    <col min="14" max="14" width="15.42578125" style="21" customWidth="1"/>
    <col min="15" max="15" width="16.140625" style="21" customWidth="1"/>
    <col min="16" max="16" width="15.42578125" style="21" customWidth="1"/>
    <col min="17" max="17" width="13.85546875" style="21" customWidth="1"/>
    <col min="18" max="19" width="14" style="21" customWidth="1"/>
    <col min="20" max="20" width="12.85546875" style="21" customWidth="1"/>
    <col min="21" max="21" width="14.42578125" style="21" customWidth="1"/>
    <col min="22" max="22" width="13" style="21" customWidth="1"/>
    <col min="23" max="45" width="20.42578125" style="21" customWidth="1"/>
    <col min="46" max="16384" width="8.85546875" style="21"/>
  </cols>
  <sheetData>
    <row r="1" spans="1:27" ht="15">
      <c r="A1" s="1299" t="str">
        <f>'Development Program'!B29</f>
        <v>Upper Cascade Apts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778" t="str">
        <f>'Development Program'!G23</f>
        <v>Close-out</v>
      </c>
      <c r="G1" s="21"/>
      <c r="Z1"/>
      <c r="AA1"/>
    </row>
    <row r="2" spans="1:27" ht="15.75" thickBot="1">
      <c r="A2" s="1283"/>
      <c r="B2" s="375" t="s">
        <v>250</v>
      </c>
      <c r="C2" s="376" t="str">
        <f>'Development Program'!D29</f>
        <v>01/1/30 to 12/31/30</v>
      </c>
      <c r="D2" s="376" t="str">
        <f>'Development Program'!E29</f>
        <v>1/1/31 to 6/30/31</v>
      </c>
      <c r="E2" s="376" t="str">
        <f>'Development Program'!F29</f>
        <v>7/1/31 to 6/30/34</v>
      </c>
      <c r="F2" s="779" t="str">
        <f>'Development Program'!G29</f>
        <v>7/1/34 to 12/31/34</v>
      </c>
      <c r="G2" s="21"/>
      <c r="H2" s="753"/>
      <c r="I2" s="753"/>
      <c r="W2" s="1285"/>
      <c r="X2" s="1285"/>
      <c r="Y2" s="1285"/>
      <c r="Z2"/>
      <c r="AA2"/>
    </row>
    <row r="3" spans="1:27" ht="25.5" thickBot="1">
      <c r="A3" s="1283"/>
      <c r="B3" s="751"/>
      <c r="C3" s="244" t="s">
        <v>281</v>
      </c>
      <c r="D3" s="244" t="s">
        <v>282</v>
      </c>
      <c r="E3" s="244" t="s">
        <v>252</v>
      </c>
      <c r="F3" s="752"/>
      <c r="G3" s="21"/>
      <c r="H3" s="753"/>
      <c r="I3" s="753"/>
      <c r="J3" s="753"/>
      <c r="K3" s="753"/>
      <c r="T3" s="762" t="s">
        <v>283</v>
      </c>
      <c r="U3" s="762" t="s">
        <v>284</v>
      </c>
      <c r="V3" s="762" t="s">
        <v>285</v>
      </c>
      <c r="W3" s="716"/>
      <c r="X3" s="716"/>
      <c r="Y3" s="716"/>
      <c r="Z3"/>
      <c r="AA3"/>
    </row>
    <row r="4" spans="1:27" s="205" customFormat="1" ht="15.75" thickBot="1">
      <c r="A4" s="1316"/>
      <c r="B4" s="206" t="s">
        <v>122</v>
      </c>
      <c r="C4" s="780">
        <v>47484</v>
      </c>
      <c r="D4" s="781">
        <f t="shared" ref="D4:V4" si="0">EOMONTH(C4,3)</f>
        <v>47603</v>
      </c>
      <c r="E4" s="781">
        <f t="shared" si="0"/>
        <v>47695</v>
      </c>
      <c r="F4" s="781">
        <f t="shared" si="0"/>
        <v>47787</v>
      </c>
      <c r="G4" s="781">
        <f t="shared" si="0"/>
        <v>47879</v>
      </c>
      <c r="H4" s="781">
        <f t="shared" si="0"/>
        <v>47968</v>
      </c>
      <c r="I4" s="781">
        <f t="shared" si="0"/>
        <v>48060</v>
      </c>
      <c r="J4" s="781">
        <f t="shared" si="0"/>
        <v>48152</v>
      </c>
      <c r="K4" s="781">
        <f t="shared" si="0"/>
        <v>48244</v>
      </c>
      <c r="L4" s="781">
        <f t="shared" si="0"/>
        <v>48334</v>
      </c>
      <c r="M4" s="781">
        <f t="shared" si="0"/>
        <v>48426</v>
      </c>
      <c r="N4" s="781">
        <f t="shared" si="0"/>
        <v>48518</v>
      </c>
      <c r="O4" s="781">
        <f t="shared" si="0"/>
        <v>48610</v>
      </c>
      <c r="P4" s="781">
        <f t="shared" si="0"/>
        <v>48699</v>
      </c>
      <c r="Q4" s="781">
        <f t="shared" si="0"/>
        <v>48791</v>
      </c>
      <c r="R4" s="781">
        <f t="shared" si="0"/>
        <v>48883</v>
      </c>
      <c r="S4" s="781">
        <f t="shared" si="0"/>
        <v>48975</v>
      </c>
      <c r="T4" s="781">
        <f t="shared" si="0"/>
        <v>49064</v>
      </c>
      <c r="U4" s="781">
        <f t="shared" si="0"/>
        <v>49156</v>
      </c>
      <c r="V4" s="782">
        <f t="shared" si="0"/>
        <v>49248</v>
      </c>
      <c r="W4" s="246" t="s">
        <v>257</v>
      </c>
      <c r="X4" s="453" t="s">
        <v>258</v>
      </c>
      <c r="Y4" s="453"/>
      <c r="Z4"/>
      <c r="AA4"/>
    </row>
    <row r="5" spans="1:27" ht="15.75" thickBot="1">
      <c r="A5" s="207" t="s">
        <v>259</v>
      </c>
      <c r="B5" s="208">
        <v>1</v>
      </c>
      <c r="C5" s="238">
        <v>0</v>
      </c>
      <c r="D5" s="238">
        <v>0</v>
      </c>
      <c r="E5" s="238">
        <v>0</v>
      </c>
      <c r="F5" s="238">
        <f>E5</f>
        <v>0</v>
      </c>
      <c r="G5" s="238">
        <f>F5</f>
        <v>0</v>
      </c>
      <c r="H5" s="238">
        <v>0</v>
      </c>
      <c r="I5" s="238">
        <v>0.05</v>
      </c>
      <c r="J5" s="238">
        <v>0.05</v>
      </c>
      <c r="K5" s="238">
        <v>0.05</v>
      </c>
      <c r="L5" s="238">
        <v>0.05</v>
      </c>
      <c r="M5" s="238">
        <v>0.12</v>
      </c>
      <c r="N5" s="238">
        <v>0.12</v>
      </c>
      <c r="O5" s="238">
        <v>0.12</v>
      </c>
      <c r="P5" s="238">
        <v>0.12</v>
      </c>
      <c r="Q5" s="238">
        <v>0.12</v>
      </c>
      <c r="R5" s="238">
        <v>0.12</v>
      </c>
      <c r="S5" s="238">
        <v>0.05</v>
      </c>
      <c r="T5" s="238">
        <v>0.03</v>
      </c>
      <c r="U5" s="238">
        <v>0</v>
      </c>
      <c r="V5" s="238">
        <v>0</v>
      </c>
      <c r="W5" s="382">
        <f t="shared" ref="W5:W26" si="1">SUM(C5:V5)</f>
        <v>1</v>
      </c>
      <c r="X5" s="383"/>
      <c r="Y5" s="216" t="s">
        <v>260</v>
      </c>
      <c r="Z5"/>
      <c r="AA5"/>
    </row>
    <row r="6" spans="1:27" ht="15">
      <c r="A6" s="173" t="str">
        <f>'Upper Cascade Financial'!A51</f>
        <v>Hard Costs for Construction</v>
      </c>
      <c r="B6" s="209">
        <f>'Upper Cascade Financial'!C51</f>
        <v>102114744</v>
      </c>
      <c r="C6" s="386">
        <f>$B6*C$5</f>
        <v>0</v>
      </c>
      <c r="D6" s="386">
        <f t="shared" ref="D6:V18" si="2">$B6*D$5</f>
        <v>0</v>
      </c>
      <c r="E6" s="386">
        <f t="shared" si="2"/>
        <v>0</v>
      </c>
      <c r="F6" s="386">
        <f t="shared" si="2"/>
        <v>0</v>
      </c>
      <c r="G6" s="386">
        <f t="shared" si="2"/>
        <v>0</v>
      </c>
      <c r="H6" s="386">
        <f t="shared" si="2"/>
        <v>0</v>
      </c>
      <c r="I6" s="386">
        <f t="shared" si="2"/>
        <v>5105737.2</v>
      </c>
      <c r="J6" s="386">
        <f t="shared" si="2"/>
        <v>5105737.2</v>
      </c>
      <c r="K6" s="386">
        <f t="shared" si="2"/>
        <v>5105737.2</v>
      </c>
      <c r="L6" s="386">
        <f t="shared" si="2"/>
        <v>5105737.2</v>
      </c>
      <c r="M6" s="386">
        <f t="shared" si="2"/>
        <v>12253769.279999999</v>
      </c>
      <c r="N6" s="386">
        <f t="shared" si="2"/>
        <v>12253769.279999999</v>
      </c>
      <c r="O6" s="386">
        <f t="shared" si="2"/>
        <v>12253769.279999999</v>
      </c>
      <c r="P6" s="386">
        <f t="shared" si="2"/>
        <v>12253769.279999999</v>
      </c>
      <c r="Q6" s="386">
        <f t="shared" si="2"/>
        <v>12253769.279999999</v>
      </c>
      <c r="R6" s="386">
        <f t="shared" si="2"/>
        <v>12253769.279999999</v>
      </c>
      <c r="S6" s="386">
        <f t="shared" si="2"/>
        <v>5105737.2</v>
      </c>
      <c r="T6" s="386">
        <f t="shared" si="2"/>
        <v>3063442.32</v>
      </c>
      <c r="U6" s="386">
        <f t="shared" si="2"/>
        <v>0</v>
      </c>
      <c r="V6" s="386">
        <f t="shared" si="2"/>
        <v>0</v>
      </c>
      <c r="W6" s="387">
        <f t="shared" si="1"/>
        <v>102114744</v>
      </c>
      <c r="X6" s="387">
        <f t="shared" ref="X6:X26" si="3">B6</f>
        <v>102114744</v>
      </c>
      <c r="Y6" s="387">
        <f>X6-W6</f>
        <v>0</v>
      </c>
      <c r="Z6"/>
      <c r="AA6"/>
    </row>
    <row r="7" spans="1:27" ht="15">
      <c r="A7" s="173" t="str">
        <f>'Upper Cascade Financial'!A52</f>
        <v>Guest Parking</v>
      </c>
      <c r="B7" s="209">
        <f>'Upper Cascade Financial'!C52</f>
        <v>19744308</v>
      </c>
      <c r="C7" s="386">
        <f t="shared" ref="C7:R26" si="4">$B7*C$5</f>
        <v>0</v>
      </c>
      <c r="D7" s="386">
        <f t="shared" si="2"/>
        <v>0</v>
      </c>
      <c r="E7" s="386">
        <f t="shared" si="2"/>
        <v>0</v>
      </c>
      <c r="F7" s="386">
        <f t="shared" si="2"/>
        <v>0</v>
      </c>
      <c r="G7" s="386">
        <f t="shared" si="2"/>
        <v>0</v>
      </c>
      <c r="H7" s="386">
        <f t="shared" si="2"/>
        <v>0</v>
      </c>
      <c r="I7" s="386">
        <f t="shared" si="2"/>
        <v>987215.4</v>
      </c>
      <c r="J7" s="386">
        <f t="shared" si="2"/>
        <v>987215.4</v>
      </c>
      <c r="K7" s="386">
        <f t="shared" si="2"/>
        <v>987215.4</v>
      </c>
      <c r="L7" s="386">
        <f t="shared" si="2"/>
        <v>987215.4</v>
      </c>
      <c r="M7" s="386">
        <f t="shared" si="2"/>
        <v>2369316.96</v>
      </c>
      <c r="N7" s="386">
        <f t="shared" si="2"/>
        <v>2369316.96</v>
      </c>
      <c r="O7" s="386">
        <f t="shared" si="2"/>
        <v>2369316.96</v>
      </c>
      <c r="P7" s="386">
        <f t="shared" si="2"/>
        <v>2369316.96</v>
      </c>
      <c r="Q7" s="386">
        <f t="shared" si="2"/>
        <v>2369316.96</v>
      </c>
      <c r="R7" s="386">
        <f t="shared" si="2"/>
        <v>2369316.96</v>
      </c>
      <c r="S7" s="386">
        <f t="shared" si="2"/>
        <v>987215.4</v>
      </c>
      <c r="T7" s="386">
        <f t="shared" si="2"/>
        <v>592329.24</v>
      </c>
      <c r="U7" s="386">
        <f t="shared" si="2"/>
        <v>0</v>
      </c>
      <c r="V7" s="386">
        <f t="shared" si="2"/>
        <v>0</v>
      </c>
      <c r="W7" s="387">
        <f t="shared" si="1"/>
        <v>19744308</v>
      </c>
      <c r="X7" s="387">
        <f t="shared" si="3"/>
        <v>19744308</v>
      </c>
      <c r="Y7" s="387">
        <f t="shared" ref="Y7:Y26" si="5">X7-W7</f>
        <v>0</v>
      </c>
      <c r="Z7"/>
      <c r="AA7"/>
    </row>
    <row r="8" spans="1:27" ht="15">
      <c r="A8" s="173" t="str">
        <f>'Upper Cascade Financial'!A53</f>
        <v>Hard Cost Contingency</v>
      </c>
      <c r="B8" s="209">
        <f>'Upper Cascade Financial'!C53</f>
        <v>10211474.4</v>
      </c>
      <c r="C8" s="386">
        <f t="shared" si="4"/>
        <v>0</v>
      </c>
      <c r="D8" s="386">
        <f t="shared" si="2"/>
        <v>0</v>
      </c>
      <c r="E8" s="386">
        <f t="shared" si="2"/>
        <v>0</v>
      </c>
      <c r="F8" s="386">
        <f t="shared" si="2"/>
        <v>0</v>
      </c>
      <c r="G8" s="386">
        <f t="shared" si="2"/>
        <v>0</v>
      </c>
      <c r="H8" s="386">
        <f t="shared" si="2"/>
        <v>0</v>
      </c>
      <c r="I8" s="386">
        <f t="shared" si="2"/>
        <v>510573.72000000003</v>
      </c>
      <c r="J8" s="386">
        <f t="shared" si="2"/>
        <v>510573.72000000003</v>
      </c>
      <c r="K8" s="386">
        <f t="shared" si="2"/>
        <v>510573.72000000003</v>
      </c>
      <c r="L8" s="386">
        <f t="shared" si="2"/>
        <v>510573.72000000003</v>
      </c>
      <c r="M8" s="386">
        <f t="shared" si="2"/>
        <v>1225376.9280000001</v>
      </c>
      <c r="N8" s="386">
        <f t="shared" si="2"/>
        <v>1225376.9280000001</v>
      </c>
      <c r="O8" s="386">
        <f t="shared" si="2"/>
        <v>1225376.9280000001</v>
      </c>
      <c r="P8" s="386">
        <f t="shared" si="2"/>
        <v>1225376.9280000001</v>
      </c>
      <c r="Q8" s="386">
        <f t="shared" si="2"/>
        <v>1225376.9280000001</v>
      </c>
      <c r="R8" s="386">
        <f t="shared" si="2"/>
        <v>1225376.9280000001</v>
      </c>
      <c r="S8" s="386">
        <f t="shared" si="2"/>
        <v>510573.72000000003</v>
      </c>
      <c r="T8" s="386">
        <f t="shared" si="2"/>
        <v>306344.23200000002</v>
      </c>
      <c r="U8" s="386">
        <f t="shared" si="2"/>
        <v>0</v>
      </c>
      <c r="V8" s="386">
        <f t="shared" si="2"/>
        <v>0</v>
      </c>
      <c r="W8" s="387">
        <f t="shared" si="1"/>
        <v>10211474.400000002</v>
      </c>
      <c r="X8" s="387">
        <f t="shared" si="3"/>
        <v>10211474.4</v>
      </c>
      <c r="Y8" s="387">
        <f t="shared" si="5"/>
        <v>0</v>
      </c>
      <c r="Z8"/>
      <c r="AA8"/>
    </row>
    <row r="9" spans="1:27" ht="15">
      <c r="A9" s="173" t="str">
        <f>'Upper Cascade Financial'!A54</f>
        <v>Demolition</v>
      </c>
      <c r="B9" s="209">
        <f>'Upper Cascade Financial'!C54</f>
        <v>960000</v>
      </c>
      <c r="C9" s="386">
        <f>B9</f>
        <v>960000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6">
        <v>0</v>
      </c>
      <c r="Q9" s="386">
        <v>0</v>
      </c>
      <c r="R9" s="386">
        <v>0</v>
      </c>
      <c r="S9" s="386">
        <v>0</v>
      </c>
      <c r="T9" s="386">
        <v>0</v>
      </c>
      <c r="U9" s="386">
        <v>0</v>
      </c>
      <c r="V9" s="386">
        <v>0</v>
      </c>
      <c r="W9" s="387">
        <f t="shared" si="1"/>
        <v>960000</v>
      </c>
      <c r="X9" s="387">
        <f t="shared" si="3"/>
        <v>960000</v>
      </c>
      <c r="Y9" s="387">
        <f t="shared" si="5"/>
        <v>0</v>
      </c>
      <c r="Z9"/>
      <c r="AA9"/>
    </row>
    <row r="10" spans="1:27" ht="15">
      <c r="A10" s="173" t="str">
        <f>'Upper Cascade Financial'!A55</f>
        <v>LAND</v>
      </c>
      <c r="B10" s="209">
        <f>'Upper Cascade Financial'!C55</f>
        <v>55600000</v>
      </c>
      <c r="C10" s="386">
        <f>B10</f>
        <v>55600000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v>0</v>
      </c>
      <c r="R10" s="386">
        <v>0</v>
      </c>
      <c r="S10" s="386">
        <v>0</v>
      </c>
      <c r="T10" s="386">
        <v>0</v>
      </c>
      <c r="U10" s="386">
        <v>0</v>
      </c>
      <c r="V10" s="386">
        <v>0</v>
      </c>
      <c r="W10" s="387">
        <f t="shared" si="1"/>
        <v>55600000</v>
      </c>
      <c r="X10" s="387">
        <f t="shared" si="3"/>
        <v>55600000</v>
      </c>
      <c r="Y10" s="387">
        <f t="shared" si="5"/>
        <v>0</v>
      </c>
      <c r="Z10"/>
      <c r="AA10"/>
    </row>
    <row r="11" spans="1:27" ht="15">
      <c r="A11" s="173" t="str">
        <f>'Upper Cascade Financial'!A56</f>
        <v>Municipal Fees and Allowances</v>
      </c>
      <c r="B11" s="209">
        <f>'Upper Cascade Financial'!C56</f>
        <v>730500</v>
      </c>
      <c r="C11" s="386">
        <f>B11</f>
        <v>730500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v>0</v>
      </c>
      <c r="M11" s="386">
        <v>0</v>
      </c>
      <c r="N11" s="386">
        <v>0</v>
      </c>
      <c r="O11" s="386">
        <v>0</v>
      </c>
      <c r="P11" s="386">
        <v>0</v>
      </c>
      <c r="Q11" s="386">
        <v>0</v>
      </c>
      <c r="R11" s="386">
        <v>0</v>
      </c>
      <c r="S11" s="386">
        <v>0</v>
      </c>
      <c r="T11" s="386">
        <v>0</v>
      </c>
      <c r="U11" s="386">
        <v>0</v>
      </c>
      <c r="V11" s="386">
        <v>0</v>
      </c>
      <c r="W11" s="387">
        <f t="shared" si="1"/>
        <v>730500</v>
      </c>
      <c r="X11" s="387">
        <f t="shared" si="3"/>
        <v>730500</v>
      </c>
      <c r="Y11" s="387">
        <f t="shared" si="5"/>
        <v>0</v>
      </c>
      <c r="Z11"/>
      <c r="AA11"/>
    </row>
    <row r="12" spans="1:27" ht="15">
      <c r="A12" s="173" t="str">
        <f>'Upper Cascade Financial'!A57</f>
        <v>Infrastructure allocation</v>
      </c>
      <c r="B12" s="209">
        <f>'Upper Cascade Financial'!C57</f>
        <v>4000000</v>
      </c>
      <c r="C12" s="386">
        <f t="shared" si="4"/>
        <v>0</v>
      </c>
      <c r="D12" s="386">
        <f t="shared" si="2"/>
        <v>0</v>
      </c>
      <c r="E12" s="386">
        <f t="shared" si="2"/>
        <v>0</v>
      </c>
      <c r="F12" s="386">
        <f t="shared" si="2"/>
        <v>0</v>
      </c>
      <c r="G12" s="386">
        <f t="shared" si="2"/>
        <v>0</v>
      </c>
      <c r="H12" s="386">
        <f t="shared" si="2"/>
        <v>0</v>
      </c>
      <c r="I12" s="386">
        <f t="shared" si="2"/>
        <v>200000</v>
      </c>
      <c r="J12" s="386">
        <f t="shared" si="2"/>
        <v>200000</v>
      </c>
      <c r="K12" s="386">
        <f t="shared" si="2"/>
        <v>200000</v>
      </c>
      <c r="L12" s="386">
        <f t="shared" si="2"/>
        <v>200000</v>
      </c>
      <c r="M12" s="386">
        <f t="shared" si="2"/>
        <v>480000</v>
      </c>
      <c r="N12" s="386">
        <f t="shared" si="2"/>
        <v>480000</v>
      </c>
      <c r="O12" s="386">
        <f t="shared" si="2"/>
        <v>480000</v>
      </c>
      <c r="P12" s="386">
        <f t="shared" si="2"/>
        <v>480000</v>
      </c>
      <c r="Q12" s="386">
        <f t="shared" si="2"/>
        <v>480000</v>
      </c>
      <c r="R12" s="386">
        <f t="shared" si="2"/>
        <v>480000</v>
      </c>
      <c r="S12" s="386">
        <f t="shared" si="2"/>
        <v>200000</v>
      </c>
      <c r="T12" s="386">
        <f t="shared" si="2"/>
        <v>120000</v>
      </c>
      <c r="U12" s="386">
        <f t="shared" si="2"/>
        <v>0</v>
      </c>
      <c r="V12" s="386">
        <f t="shared" si="2"/>
        <v>0</v>
      </c>
      <c r="W12" s="387">
        <f t="shared" si="1"/>
        <v>4000000</v>
      </c>
      <c r="X12" s="387">
        <f t="shared" si="3"/>
        <v>4000000</v>
      </c>
      <c r="Y12" s="387">
        <f t="shared" si="5"/>
        <v>0</v>
      </c>
      <c r="Z12"/>
      <c r="AA12"/>
    </row>
    <row r="13" spans="1:27" ht="15">
      <c r="A13" s="173" t="str">
        <f>'Upper Cascade Financial'!A58</f>
        <v>Legal</v>
      </c>
      <c r="B13" s="209">
        <f>'Upper Cascade Financial'!C58</f>
        <v>500000</v>
      </c>
      <c r="C13" s="386">
        <f t="shared" si="4"/>
        <v>0</v>
      </c>
      <c r="D13" s="386">
        <f t="shared" si="2"/>
        <v>0</v>
      </c>
      <c r="E13" s="386">
        <f t="shared" si="2"/>
        <v>0</v>
      </c>
      <c r="F13" s="386">
        <f t="shared" si="2"/>
        <v>0</v>
      </c>
      <c r="G13" s="386">
        <f t="shared" si="2"/>
        <v>0</v>
      </c>
      <c r="H13" s="386">
        <f t="shared" si="2"/>
        <v>0</v>
      </c>
      <c r="I13" s="386">
        <f t="shared" si="2"/>
        <v>25000</v>
      </c>
      <c r="J13" s="386">
        <f t="shared" si="2"/>
        <v>25000</v>
      </c>
      <c r="K13" s="386">
        <f t="shared" si="2"/>
        <v>25000</v>
      </c>
      <c r="L13" s="386">
        <f t="shared" si="2"/>
        <v>25000</v>
      </c>
      <c r="M13" s="386">
        <f t="shared" si="2"/>
        <v>60000</v>
      </c>
      <c r="N13" s="386">
        <f t="shared" si="2"/>
        <v>60000</v>
      </c>
      <c r="O13" s="386">
        <f t="shared" si="2"/>
        <v>60000</v>
      </c>
      <c r="P13" s="386">
        <f t="shared" si="2"/>
        <v>60000</v>
      </c>
      <c r="Q13" s="386">
        <f t="shared" si="2"/>
        <v>60000</v>
      </c>
      <c r="R13" s="386">
        <f t="shared" si="2"/>
        <v>60000</v>
      </c>
      <c r="S13" s="386">
        <f t="shared" si="2"/>
        <v>25000</v>
      </c>
      <c r="T13" s="386">
        <f t="shared" si="2"/>
        <v>15000</v>
      </c>
      <c r="U13" s="386">
        <f t="shared" si="2"/>
        <v>0</v>
      </c>
      <c r="V13" s="386">
        <f t="shared" si="2"/>
        <v>0</v>
      </c>
      <c r="W13" s="387">
        <f t="shared" si="1"/>
        <v>500000</v>
      </c>
      <c r="X13" s="387">
        <f t="shared" si="3"/>
        <v>500000</v>
      </c>
      <c r="Y13" s="387">
        <f t="shared" si="5"/>
        <v>0</v>
      </c>
      <c r="Z13"/>
      <c r="AA13"/>
    </row>
    <row r="14" spans="1:27" ht="15">
      <c r="A14" s="173" t="str">
        <f>'Upper Cascade Financial'!A59</f>
        <v>Land Closing Costs/commissions</v>
      </c>
      <c r="B14" s="209">
        <f>'Upper Cascade Financial'!C59</f>
        <v>556000</v>
      </c>
      <c r="C14" s="386">
        <f>B14</f>
        <v>556000</v>
      </c>
      <c r="D14" s="386">
        <v>0</v>
      </c>
      <c r="E14" s="386">
        <v>0</v>
      </c>
      <c r="F14" s="386">
        <v>0</v>
      </c>
      <c r="G14" s="386">
        <v>0</v>
      </c>
      <c r="H14" s="386">
        <v>0</v>
      </c>
      <c r="I14" s="386">
        <v>0</v>
      </c>
      <c r="J14" s="386">
        <v>0</v>
      </c>
      <c r="K14" s="386">
        <v>0</v>
      </c>
      <c r="L14" s="386">
        <v>0</v>
      </c>
      <c r="M14" s="386">
        <v>0</v>
      </c>
      <c r="N14" s="386">
        <v>0</v>
      </c>
      <c r="O14" s="386">
        <v>0</v>
      </c>
      <c r="P14" s="386">
        <v>0</v>
      </c>
      <c r="Q14" s="386">
        <v>0</v>
      </c>
      <c r="R14" s="386">
        <v>0</v>
      </c>
      <c r="S14" s="386">
        <v>0</v>
      </c>
      <c r="T14" s="386">
        <v>0</v>
      </c>
      <c r="U14" s="386">
        <v>0</v>
      </c>
      <c r="V14" s="386">
        <v>0</v>
      </c>
      <c r="W14" s="387">
        <f t="shared" si="1"/>
        <v>556000</v>
      </c>
      <c r="X14" s="387">
        <f t="shared" si="3"/>
        <v>556000</v>
      </c>
      <c r="Y14" s="387">
        <f t="shared" si="5"/>
        <v>0</v>
      </c>
      <c r="Z14"/>
      <c r="AA14"/>
    </row>
    <row r="15" spans="1:27" ht="15">
      <c r="A15" s="173" t="str">
        <f>'Upper Cascade Financial'!A60</f>
        <v xml:space="preserve">Design </v>
      </c>
      <c r="B15" s="209">
        <f>'Upper Cascade Financial'!C60</f>
        <v>2808155.4600000004</v>
      </c>
      <c r="C15" s="386">
        <f t="shared" si="4"/>
        <v>0</v>
      </c>
      <c r="D15" s="386">
        <f t="shared" si="2"/>
        <v>0</v>
      </c>
      <c r="E15" s="386">
        <f t="shared" si="2"/>
        <v>0</v>
      </c>
      <c r="F15" s="386">
        <f t="shared" si="2"/>
        <v>0</v>
      </c>
      <c r="G15" s="386">
        <f t="shared" si="2"/>
        <v>0</v>
      </c>
      <c r="H15" s="386">
        <f t="shared" si="2"/>
        <v>0</v>
      </c>
      <c r="I15" s="386">
        <f t="shared" si="2"/>
        <v>140407.77300000002</v>
      </c>
      <c r="J15" s="386">
        <f t="shared" si="2"/>
        <v>140407.77300000002</v>
      </c>
      <c r="K15" s="386">
        <f t="shared" si="2"/>
        <v>140407.77300000002</v>
      </c>
      <c r="L15" s="386">
        <f t="shared" si="2"/>
        <v>140407.77300000002</v>
      </c>
      <c r="M15" s="386">
        <f t="shared" si="2"/>
        <v>336978.65520000004</v>
      </c>
      <c r="N15" s="386">
        <f t="shared" si="2"/>
        <v>336978.65520000004</v>
      </c>
      <c r="O15" s="386">
        <f t="shared" si="2"/>
        <v>336978.65520000004</v>
      </c>
      <c r="P15" s="386">
        <f t="shared" si="2"/>
        <v>336978.65520000004</v>
      </c>
      <c r="Q15" s="386">
        <f t="shared" si="2"/>
        <v>336978.65520000004</v>
      </c>
      <c r="R15" s="386">
        <f t="shared" si="2"/>
        <v>336978.65520000004</v>
      </c>
      <c r="S15" s="386">
        <f t="shared" si="2"/>
        <v>140407.77300000002</v>
      </c>
      <c r="T15" s="386">
        <f t="shared" si="2"/>
        <v>84244.663800000009</v>
      </c>
      <c r="U15" s="386">
        <f t="shared" si="2"/>
        <v>0</v>
      </c>
      <c r="V15" s="386">
        <f t="shared" si="2"/>
        <v>0</v>
      </c>
      <c r="W15" s="387">
        <f t="shared" si="1"/>
        <v>2808155.46</v>
      </c>
      <c r="X15" s="387">
        <f t="shared" si="3"/>
        <v>2808155.4600000004</v>
      </c>
      <c r="Y15" s="387">
        <f t="shared" si="5"/>
        <v>0</v>
      </c>
      <c r="Z15"/>
      <c r="AA15"/>
    </row>
    <row r="16" spans="1:27" ht="15">
      <c r="A16" s="173" t="str">
        <f>'Upper Cascade Financial'!A61</f>
        <v>Developer Fee</v>
      </c>
      <c r="B16" s="209">
        <f>'Upper Cascade Financial'!C61</f>
        <v>5916755.4558000006</v>
      </c>
      <c r="C16" s="386">
        <f t="shared" si="4"/>
        <v>0</v>
      </c>
      <c r="D16" s="386">
        <f t="shared" si="2"/>
        <v>0</v>
      </c>
      <c r="E16" s="386">
        <f t="shared" si="2"/>
        <v>0</v>
      </c>
      <c r="F16" s="386">
        <f t="shared" si="2"/>
        <v>0</v>
      </c>
      <c r="G16" s="386">
        <f t="shared" si="2"/>
        <v>0</v>
      </c>
      <c r="H16" s="386">
        <f t="shared" si="2"/>
        <v>0</v>
      </c>
      <c r="I16" s="386">
        <f t="shared" si="2"/>
        <v>295837.77279000002</v>
      </c>
      <c r="J16" s="386">
        <f t="shared" si="2"/>
        <v>295837.77279000002</v>
      </c>
      <c r="K16" s="386">
        <f t="shared" si="2"/>
        <v>295837.77279000002</v>
      </c>
      <c r="L16" s="386">
        <f t="shared" si="2"/>
        <v>295837.77279000002</v>
      </c>
      <c r="M16" s="386">
        <f t="shared" si="2"/>
        <v>710010.65469600004</v>
      </c>
      <c r="N16" s="386">
        <f t="shared" si="2"/>
        <v>710010.65469600004</v>
      </c>
      <c r="O16" s="386">
        <f t="shared" si="2"/>
        <v>710010.65469600004</v>
      </c>
      <c r="P16" s="386">
        <f t="shared" si="2"/>
        <v>710010.65469600004</v>
      </c>
      <c r="Q16" s="386">
        <f t="shared" si="2"/>
        <v>710010.65469600004</v>
      </c>
      <c r="R16" s="386">
        <f t="shared" si="2"/>
        <v>710010.65469600004</v>
      </c>
      <c r="S16" s="386">
        <f t="shared" si="2"/>
        <v>295837.77279000002</v>
      </c>
      <c r="T16" s="386">
        <f t="shared" si="2"/>
        <v>177502.66367400001</v>
      </c>
      <c r="U16" s="386">
        <f t="shared" si="2"/>
        <v>0</v>
      </c>
      <c r="V16" s="386">
        <f t="shared" si="2"/>
        <v>0</v>
      </c>
      <c r="W16" s="387">
        <f t="shared" si="1"/>
        <v>5916755.4557999987</v>
      </c>
      <c r="X16" s="387">
        <f t="shared" si="3"/>
        <v>5916755.4558000006</v>
      </c>
      <c r="Y16" s="387">
        <f t="shared" si="5"/>
        <v>0</v>
      </c>
      <c r="Z16"/>
      <c r="AA16"/>
    </row>
    <row r="17" spans="1:27" ht="15">
      <c r="A17" s="173" t="str">
        <f>'Upper Cascade Financial'!A62</f>
        <v>Construction Management Fee</v>
      </c>
      <c r="B17" s="209">
        <f>'Upper Cascade Financial'!C62</f>
        <v>2246524.3680000002</v>
      </c>
      <c r="C17" s="386">
        <f t="shared" si="4"/>
        <v>0</v>
      </c>
      <c r="D17" s="386">
        <f t="shared" si="2"/>
        <v>0</v>
      </c>
      <c r="E17" s="386">
        <f t="shared" si="2"/>
        <v>0</v>
      </c>
      <c r="F17" s="386">
        <f t="shared" si="2"/>
        <v>0</v>
      </c>
      <c r="G17" s="386">
        <f t="shared" si="2"/>
        <v>0</v>
      </c>
      <c r="H17" s="386">
        <f t="shared" si="2"/>
        <v>0</v>
      </c>
      <c r="I17" s="386">
        <f t="shared" si="2"/>
        <v>112326.21840000001</v>
      </c>
      <c r="J17" s="386">
        <f t="shared" si="2"/>
        <v>112326.21840000001</v>
      </c>
      <c r="K17" s="386">
        <f t="shared" si="2"/>
        <v>112326.21840000001</v>
      </c>
      <c r="L17" s="386">
        <f t="shared" si="2"/>
        <v>112326.21840000001</v>
      </c>
      <c r="M17" s="386">
        <f t="shared" si="2"/>
        <v>269582.92416</v>
      </c>
      <c r="N17" s="386">
        <f t="shared" si="2"/>
        <v>269582.92416</v>
      </c>
      <c r="O17" s="386">
        <f t="shared" si="2"/>
        <v>269582.92416</v>
      </c>
      <c r="P17" s="386">
        <f t="shared" si="2"/>
        <v>269582.92416</v>
      </c>
      <c r="Q17" s="386">
        <f t="shared" si="2"/>
        <v>269582.92416</v>
      </c>
      <c r="R17" s="386">
        <f t="shared" si="2"/>
        <v>269582.92416</v>
      </c>
      <c r="S17" s="386">
        <f t="shared" si="2"/>
        <v>112326.21840000001</v>
      </c>
      <c r="T17" s="386">
        <f t="shared" si="2"/>
        <v>67395.731039999999</v>
      </c>
      <c r="U17" s="386">
        <f t="shared" si="2"/>
        <v>0</v>
      </c>
      <c r="V17" s="386">
        <f t="shared" si="2"/>
        <v>0</v>
      </c>
      <c r="W17" s="387">
        <f t="shared" si="1"/>
        <v>2246524.3679999998</v>
      </c>
      <c r="X17" s="387">
        <f t="shared" si="3"/>
        <v>2246524.3680000002</v>
      </c>
      <c r="Y17" s="387">
        <f t="shared" si="5"/>
        <v>0</v>
      </c>
      <c r="Z17"/>
      <c r="AA17"/>
    </row>
    <row r="18" spans="1:27" ht="15">
      <c r="A18" s="173" t="str">
        <f>'Upper Cascade Financial'!A63</f>
        <v>Taxes</v>
      </c>
      <c r="B18" s="209">
        <f>'Upper Cascade Financial'!C63</f>
        <v>981895.99999999988</v>
      </c>
      <c r="C18" s="386">
        <f t="shared" si="4"/>
        <v>0</v>
      </c>
      <c r="D18" s="386">
        <f t="shared" si="2"/>
        <v>0</v>
      </c>
      <c r="E18" s="386">
        <f t="shared" si="2"/>
        <v>0</v>
      </c>
      <c r="F18" s="386">
        <f t="shared" si="2"/>
        <v>0</v>
      </c>
      <c r="G18" s="386">
        <f t="shared" ref="G18:V26" si="6">$B18*G$5</f>
        <v>0</v>
      </c>
      <c r="H18" s="386">
        <f t="shared" si="6"/>
        <v>0</v>
      </c>
      <c r="I18" s="386">
        <f t="shared" si="6"/>
        <v>49094.799999999996</v>
      </c>
      <c r="J18" s="386">
        <f t="shared" si="6"/>
        <v>49094.799999999996</v>
      </c>
      <c r="K18" s="386">
        <f t="shared" si="6"/>
        <v>49094.799999999996</v>
      </c>
      <c r="L18" s="386">
        <f t="shared" si="6"/>
        <v>49094.799999999996</v>
      </c>
      <c r="M18" s="386">
        <f t="shared" si="6"/>
        <v>117827.51999999997</v>
      </c>
      <c r="N18" s="386">
        <f t="shared" si="6"/>
        <v>117827.51999999997</v>
      </c>
      <c r="O18" s="386">
        <f t="shared" si="6"/>
        <v>117827.51999999997</v>
      </c>
      <c r="P18" s="386">
        <f t="shared" si="6"/>
        <v>117827.51999999997</v>
      </c>
      <c r="Q18" s="386">
        <f t="shared" si="6"/>
        <v>117827.51999999997</v>
      </c>
      <c r="R18" s="386">
        <f t="shared" si="6"/>
        <v>117827.51999999997</v>
      </c>
      <c r="S18" s="386">
        <f t="shared" si="6"/>
        <v>49094.799999999996</v>
      </c>
      <c r="T18" s="386">
        <f t="shared" si="6"/>
        <v>29456.879999999994</v>
      </c>
      <c r="U18" s="386">
        <f t="shared" si="6"/>
        <v>0</v>
      </c>
      <c r="V18" s="386">
        <f t="shared" si="6"/>
        <v>0</v>
      </c>
      <c r="W18" s="387">
        <f t="shared" si="1"/>
        <v>981896</v>
      </c>
      <c r="X18" s="387">
        <f t="shared" si="3"/>
        <v>981895.99999999988</v>
      </c>
      <c r="Y18" s="387">
        <f t="shared" si="5"/>
        <v>0</v>
      </c>
      <c r="Z18"/>
      <c r="AA18"/>
    </row>
    <row r="19" spans="1:27" ht="15">
      <c r="A19" s="173" t="str">
        <f>'Upper Cascade Financial'!A64</f>
        <v>Insurance</v>
      </c>
      <c r="B19" s="209">
        <f>'Upper Cascade Financial'!C64</f>
        <v>411753</v>
      </c>
      <c r="C19" s="386">
        <f t="shared" si="4"/>
        <v>0</v>
      </c>
      <c r="D19" s="386">
        <f t="shared" si="4"/>
        <v>0</v>
      </c>
      <c r="E19" s="386">
        <f t="shared" si="4"/>
        <v>0</v>
      </c>
      <c r="F19" s="386">
        <f t="shared" si="4"/>
        <v>0</v>
      </c>
      <c r="G19" s="386">
        <f t="shared" si="4"/>
        <v>0</v>
      </c>
      <c r="H19" s="386">
        <f t="shared" si="4"/>
        <v>0</v>
      </c>
      <c r="I19" s="386">
        <f t="shared" si="4"/>
        <v>20587.650000000001</v>
      </c>
      <c r="J19" s="386">
        <f t="shared" si="4"/>
        <v>20587.650000000001</v>
      </c>
      <c r="K19" s="386">
        <f t="shared" si="4"/>
        <v>20587.650000000001</v>
      </c>
      <c r="L19" s="386">
        <f t="shared" si="4"/>
        <v>20587.650000000001</v>
      </c>
      <c r="M19" s="386">
        <f t="shared" si="4"/>
        <v>49410.36</v>
      </c>
      <c r="N19" s="386">
        <f t="shared" si="4"/>
        <v>49410.36</v>
      </c>
      <c r="O19" s="386">
        <f t="shared" si="4"/>
        <v>49410.36</v>
      </c>
      <c r="P19" s="386">
        <f t="shared" si="4"/>
        <v>49410.36</v>
      </c>
      <c r="Q19" s="386">
        <f t="shared" si="4"/>
        <v>49410.36</v>
      </c>
      <c r="R19" s="386">
        <f t="shared" si="4"/>
        <v>49410.36</v>
      </c>
      <c r="S19" s="386">
        <f t="shared" si="6"/>
        <v>20587.650000000001</v>
      </c>
      <c r="T19" s="386">
        <f t="shared" si="6"/>
        <v>12352.59</v>
      </c>
      <c r="U19" s="386">
        <f t="shared" si="6"/>
        <v>0</v>
      </c>
      <c r="V19" s="386">
        <f t="shared" si="6"/>
        <v>0</v>
      </c>
      <c r="W19" s="387">
        <f t="shared" si="1"/>
        <v>411753</v>
      </c>
      <c r="X19" s="387">
        <f t="shared" si="3"/>
        <v>411753</v>
      </c>
      <c r="Y19" s="387">
        <f t="shared" si="5"/>
        <v>0</v>
      </c>
      <c r="Z19"/>
      <c r="AA19"/>
    </row>
    <row r="20" spans="1:27" ht="15">
      <c r="A20" s="173" t="str">
        <f>'Upper Cascade Financial'!A65</f>
        <v>Marketing, FFE and Preleasing</v>
      </c>
      <c r="B20" s="209">
        <f>'Upper Cascade Financial'!C65</f>
        <v>411753</v>
      </c>
      <c r="C20" s="386">
        <f t="shared" si="4"/>
        <v>0</v>
      </c>
      <c r="D20" s="386">
        <f t="shared" si="4"/>
        <v>0</v>
      </c>
      <c r="E20" s="386">
        <f t="shared" si="4"/>
        <v>0</v>
      </c>
      <c r="F20" s="386">
        <f t="shared" si="4"/>
        <v>0</v>
      </c>
      <c r="G20" s="386">
        <f t="shared" si="4"/>
        <v>0</v>
      </c>
      <c r="H20" s="386">
        <f t="shared" si="4"/>
        <v>0</v>
      </c>
      <c r="I20" s="386">
        <f t="shared" si="4"/>
        <v>20587.650000000001</v>
      </c>
      <c r="J20" s="386">
        <f t="shared" si="4"/>
        <v>20587.650000000001</v>
      </c>
      <c r="K20" s="386">
        <f t="shared" si="4"/>
        <v>20587.650000000001</v>
      </c>
      <c r="L20" s="386">
        <f t="shared" si="4"/>
        <v>20587.650000000001</v>
      </c>
      <c r="M20" s="386">
        <f t="shared" si="4"/>
        <v>49410.36</v>
      </c>
      <c r="N20" s="386">
        <f t="shared" si="4"/>
        <v>49410.36</v>
      </c>
      <c r="O20" s="386">
        <f t="shared" si="4"/>
        <v>49410.36</v>
      </c>
      <c r="P20" s="386">
        <f t="shared" si="4"/>
        <v>49410.36</v>
      </c>
      <c r="Q20" s="386">
        <f t="shared" si="4"/>
        <v>49410.36</v>
      </c>
      <c r="R20" s="386">
        <f t="shared" si="4"/>
        <v>49410.36</v>
      </c>
      <c r="S20" s="386">
        <f t="shared" si="6"/>
        <v>20587.650000000001</v>
      </c>
      <c r="T20" s="386">
        <f t="shared" si="6"/>
        <v>12352.59</v>
      </c>
      <c r="U20" s="386">
        <f t="shared" si="6"/>
        <v>0</v>
      </c>
      <c r="V20" s="386">
        <f t="shared" si="6"/>
        <v>0</v>
      </c>
      <c r="W20" s="387">
        <f t="shared" si="1"/>
        <v>411753</v>
      </c>
      <c r="X20" s="387">
        <f t="shared" si="3"/>
        <v>411753</v>
      </c>
      <c r="Y20" s="387">
        <f t="shared" si="5"/>
        <v>0</v>
      </c>
      <c r="Z20"/>
      <c r="AA20"/>
    </row>
    <row r="21" spans="1:27" ht="15">
      <c r="A21" s="256" t="s">
        <v>296</v>
      </c>
      <c r="B21" s="209">
        <f>'Upper Cascade Financial'!C66</f>
        <v>1525000</v>
      </c>
      <c r="C21" s="386">
        <f t="shared" si="4"/>
        <v>0</v>
      </c>
      <c r="D21" s="386">
        <f t="shared" si="4"/>
        <v>0</v>
      </c>
      <c r="E21" s="386">
        <f t="shared" si="4"/>
        <v>0</v>
      </c>
      <c r="F21" s="386">
        <f t="shared" si="4"/>
        <v>0</v>
      </c>
      <c r="G21" s="386">
        <f t="shared" si="4"/>
        <v>0</v>
      </c>
      <c r="H21" s="386">
        <f t="shared" si="4"/>
        <v>0</v>
      </c>
      <c r="I21" s="386">
        <f t="shared" si="4"/>
        <v>76250</v>
      </c>
      <c r="J21" s="386">
        <f t="shared" si="4"/>
        <v>76250</v>
      </c>
      <c r="K21" s="386">
        <f t="shared" si="4"/>
        <v>76250</v>
      </c>
      <c r="L21" s="386">
        <f t="shared" si="4"/>
        <v>76250</v>
      </c>
      <c r="M21" s="386">
        <f t="shared" si="4"/>
        <v>183000</v>
      </c>
      <c r="N21" s="386">
        <f t="shared" si="4"/>
        <v>183000</v>
      </c>
      <c r="O21" s="386">
        <f t="shared" si="4"/>
        <v>183000</v>
      </c>
      <c r="P21" s="386">
        <f t="shared" si="4"/>
        <v>183000</v>
      </c>
      <c r="Q21" s="386">
        <f t="shared" si="4"/>
        <v>183000</v>
      </c>
      <c r="R21" s="386">
        <f t="shared" si="4"/>
        <v>183000</v>
      </c>
      <c r="S21" s="386">
        <f t="shared" si="6"/>
        <v>76250</v>
      </c>
      <c r="T21" s="386">
        <f t="shared" si="6"/>
        <v>45750</v>
      </c>
      <c r="U21" s="386">
        <f t="shared" si="6"/>
        <v>0</v>
      </c>
      <c r="V21" s="386">
        <f t="shared" si="6"/>
        <v>0</v>
      </c>
      <c r="W21" s="387">
        <f t="shared" si="1"/>
        <v>1525000</v>
      </c>
      <c r="X21" s="387">
        <f t="shared" si="3"/>
        <v>1525000</v>
      </c>
      <c r="Y21" s="387"/>
      <c r="Z21"/>
      <c r="AA21"/>
    </row>
    <row r="22" spans="1:27" ht="15">
      <c r="A22" s="173" t="str">
        <f>'Upper Cascade Financial'!A67</f>
        <v>Retail Tenant Improvements</v>
      </c>
      <c r="B22" s="209">
        <f>'Upper Cascade Financial'!C67</f>
        <v>4608975</v>
      </c>
      <c r="C22" s="386">
        <f t="shared" si="4"/>
        <v>0</v>
      </c>
      <c r="D22" s="386">
        <f t="shared" si="4"/>
        <v>0</v>
      </c>
      <c r="E22" s="386">
        <f t="shared" si="4"/>
        <v>0</v>
      </c>
      <c r="F22" s="386">
        <f t="shared" si="4"/>
        <v>0</v>
      </c>
      <c r="G22" s="386">
        <f t="shared" si="4"/>
        <v>0</v>
      </c>
      <c r="H22" s="386">
        <f t="shared" si="4"/>
        <v>0</v>
      </c>
      <c r="I22" s="386">
        <f t="shared" si="4"/>
        <v>230448.75</v>
      </c>
      <c r="J22" s="386">
        <f t="shared" si="4"/>
        <v>230448.75</v>
      </c>
      <c r="K22" s="386">
        <f t="shared" si="4"/>
        <v>230448.75</v>
      </c>
      <c r="L22" s="386">
        <f t="shared" si="4"/>
        <v>230448.75</v>
      </c>
      <c r="M22" s="386">
        <f t="shared" si="4"/>
        <v>553077</v>
      </c>
      <c r="N22" s="386">
        <f t="shared" si="4"/>
        <v>553077</v>
      </c>
      <c r="O22" s="386">
        <f t="shared" si="4"/>
        <v>553077</v>
      </c>
      <c r="P22" s="386">
        <f t="shared" si="4"/>
        <v>553077</v>
      </c>
      <c r="Q22" s="386">
        <f t="shared" si="4"/>
        <v>553077</v>
      </c>
      <c r="R22" s="386">
        <f t="shared" si="4"/>
        <v>553077</v>
      </c>
      <c r="S22" s="386">
        <f t="shared" si="6"/>
        <v>230448.75</v>
      </c>
      <c r="T22" s="386">
        <f t="shared" si="6"/>
        <v>138269.25</v>
      </c>
      <c r="U22" s="386">
        <f t="shared" si="6"/>
        <v>0</v>
      </c>
      <c r="V22" s="386">
        <f t="shared" si="6"/>
        <v>0</v>
      </c>
      <c r="W22" s="387">
        <f t="shared" si="1"/>
        <v>4608975</v>
      </c>
      <c r="X22" s="387">
        <f t="shared" si="3"/>
        <v>4608975</v>
      </c>
      <c r="Y22" s="387">
        <f t="shared" si="5"/>
        <v>0</v>
      </c>
      <c r="Z22"/>
      <c r="AA22"/>
    </row>
    <row r="23" spans="1:27" ht="15">
      <c r="A23" s="173" t="str">
        <f>'Upper Cascade Financial'!A68</f>
        <v>Retail brokerage</v>
      </c>
      <c r="B23" s="209">
        <f>'Upper Cascade Financial'!C68</f>
        <v>682128.29999999993</v>
      </c>
      <c r="C23" s="386">
        <f t="shared" si="4"/>
        <v>0</v>
      </c>
      <c r="D23" s="386">
        <f t="shared" si="4"/>
        <v>0</v>
      </c>
      <c r="E23" s="386">
        <f t="shared" si="4"/>
        <v>0</v>
      </c>
      <c r="F23" s="386">
        <f t="shared" si="4"/>
        <v>0</v>
      </c>
      <c r="G23" s="386">
        <f t="shared" si="4"/>
        <v>0</v>
      </c>
      <c r="H23" s="386">
        <f t="shared" si="4"/>
        <v>0</v>
      </c>
      <c r="I23" s="386">
        <f t="shared" si="4"/>
        <v>34106.415000000001</v>
      </c>
      <c r="J23" s="386">
        <f t="shared" si="4"/>
        <v>34106.415000000001</v>
      </c>
      <c r="K23" s="386">
        <f t="shared" si="4"/>
        <v>34106.415000000001</v>
      </c>
      <c r="L23" s="386">
        <f t="shared" si="4"/>
        <v>34106.415000000001</v>
      </c>
      <c r="M23" s="386">
        <f t="shared" si="4"/>
        <v>81855.395999999993</v>
      </c>
      <c r="N23" s="386">
        <f t="shared" si="4"/>
        <v>81855.395999999993</v>
      </c>
      <c r="O23" s="386">
        <f t="shared" si="4"/>
        <v>81855.395999999993</v>
      </c>
      <c r="P23" s="386">
        <f t="shared" si="4"/>
        <v>81855.395999999993</v>
      </c>
      <c r="Q23" s="386">
        <f t="shared" si="4"/>
        <v>81855.395999999993</v>
      </c>
      <c r="R23" s="386">
        <f t="shared" si="4"/>
        <v>81855.395999999993</v>
      </c>
      <c r="S23" s="386">
        <f t="shared" si="6"/>
        <v>34106.415000000001</v>
      </c>
      <c r="T23" s="386">
        <f t="shared" si="6"/>
        <v>20463.848999999998</v>
      </c>
      <c r="U23" s="386">
        <f t="shared" si="6"/>
        <v>0</v>
      </c>
      <c r="V23" s="386">
        <f t="shared" si="6"/>
        <v>0</v>
      </c>
      <c r="W23" s="387">
        <f t="shared" si="1"/>
        <v>682128.3</v>
      </c>
      <c r="X23" s="387">
        <f t="shared" si="3"/>
        <v>682128.29999999993</v>
      </c>
      <c r="Y23" s="387">
        <f t="shared" si="5"/>
        <v>0</v>
      </c>
      <c r="Z23"/>
      <c r="AA23"/>
    </row>
    <row r="24" spans="1:27" ht="15">
      <c r="A24" s="173" t="str">
        <f>'Upper Cascade Financial'!A69</f>
        <v>Construction Loan Origination</v>
      </c>
      <c r="B24" s="209">
        <f>'Upper Cascade Financial'!C69</f>
        <v>2183295</v>
      </c>
      <c r="C24" s="386">
        <f>B24</f>
        <v>2183295</v>
      </c>
      <c r="D24" s="386">
        <v>0</v>
      </c>
      <c r="E24" s="386">
        <v>0</v>
      </c>
      <c r="F24" s="386">
        <v>0</v>
      </c>
      <c r="G24" s="386">
        <v>0</v>
      </c>
      <c r="H24" s="386">
        <v>0</v>
      </c>
      <c r="I24" s="386">
        <v>0</v>
      </c>
      <c r="J24" s="386">
        <v>0</v>
      </c>
      <c r="K24" s="386">
        <v>0</v>
      </c>
      <c r="L24" s="386">
        <v>0</v>
      </c>
      <c r="M24" s="386">
        <v>0</v>
      </c>
      <c r="N24" s="386">
        <v>0</v>
      </c>
      <c r="O24" s="386">
        <v>0</v>
      </c>
      <c r="P24" s="386">
        <v>0</v>
      </c>
      <c r="Q24" s="386">
        <v>0</v>
      </c>
      <c r="R24" s="386">
        <v>0</v>
      </c>
      <c r="S24" s="386">
        <v>0</v>
      </c>
      <c r="T24" s="386">
        <v>0</v>
      </c>
      <c r="U24" s="386">
        <v>0</v>
      </c>
      <c r="V24" s="386">
        <v>0</v>
      </c>
      <c r="W24" s="387">
        <f t="shared" si="1"/>
        <v>2183295</v>
      </c>
      <c r="X24" s="387">
        <f t="shared" si="3"/>
        <v>2183295</v>
      </c>
      <c r="Y24" s="387">
        <f t="shared" si="5"/>
        <v>0</v>
      </c>
      <c r="Z24"/>
      <c r="AA24"/>
    </row>
    <row r="25" spans="1:27" ht="15">
      <c r="A25" s="173" t="str">
        <f>'Upper Cascade Financial'!A70</f>
        <v>Construction Interest</v>
      </c>
      <c r="B25" s="209">
        <f>'Upper Cascade Financial'!C70</f>
        <v>10171490</v>
      </c>
      <c r="C25" s="386">
        <f>B25</f>
        <v>10171490</v>
      </c>
      <c r="D25" s="386">
        <v>0</v>
      </c>
      <c r="E25" s="386">
        <v>0</v>
      </c>
      <c r="F25" s="386">
        <v>0</v>
      </c>
      <c r="G25" s="386">
        <v>0</v>
      </c>
      <c r="H25" s="386">
        <v>0</v>
      </c>
      <c r="I25" s="386">
        <v>0</v>
      </c>
      <c r="J25" s="386">
        <v>0</v>
      </c>
      <c r="K25" s="386">
        <v>0</v>
      </c>
      <c r="L25" s="386">
        <v>0</v>
      </c>
      <c r="M25" s="386">
        <v>0</v>
      </c>
      <c r="N25" s="386">
        <v>0</v>
      </c>
      <c r="O25" s="386">
        <v>0</v>
      </c>
      <c r="P25" s="386">
        <v>0</v>
      </c>
      <c r="Q25" s="386">
        <v>0</v>
      </c>
      <c r="R25" s="386">
        <v>0</v>
      </c>
      <c r="S25" s="386">
        <v>0</v>
      </c>
      <c r="T25" s="386">
        <v>0</v>
      </c>
      <c r="U25" s="386">
        <v>0</v>
      </c>
      <c r="V25" s="386">
        <v>0</v>
      </c>
      <c r="W25" s="387">
        <f t="shared" si="1"/>
        <v>10171490</v>
      </c>
      <c r="X25" s="387">
        <f t="shared" si="3"/>
        <v>10171490</v>
      </c>
      <c r="Y25" s="387">
        <f t="shared" si="5"/>
        <v>0</v>
      </c>
      <c r="Z25"/>
      <c r="AA25"/>
    </row>
    <row r="26" spans="1:27" ht="15">
      <c r="A26" s="173" t="str">
        <f>'Upper Cascade Financial'!A71</f>
        <v>Additional Contingency</v>
      </c>
      <c r="B26" s="209">
        <f>'Upper Cascade Financial'!C71</f>
        <v>9712640</v>
      </c>
      <c r="C26" s="386">
        <f t="shared" si="4"/>
        <v>0</v>
      </c>
      <c r="D26" s="386">
        <f t="shared" si="4"/>
        <v>0</v>
      </c>
      <c r="E26" s="386">
        <f t="shared" si="4"/>
        <v>0</v>
      </c>
      <c r="F26" s="386">
        <f t="shared" si="4"/>
        <v>0</v>
      </c>
      <c r="G26" s="386">
        <f t="shared" si="4"/>
        <v>0</v>
      </c>
      <c r="H26" s="386">
        <f t="shared" si="4"/>
        <v>0</v>
      </c>
      <c r="I26" s="386">
        <f t="shared" si="4"/>
        <v>485632</v>
      </c>
      <c r="J26" s="386">
        <f t="shared" si="4"/>
        <v>485632</v>
      </c>
      <c r="K26" s="386">
        <f t="shared" si="4"/>
        <v>485632</v>
      </c>
      <c r="L26" s="386">
        <f t="shared" si="4"/>
        <v>485632</v>
      </c>
      <c r="M26" s="386">
        <f t="shared" si="4"/>
        <v>1165516.8</v>
      </c>
      <c r="N26" s="386">
        <f t="shared" si="4"/>
        <v>1165516.8</v>
      </c>
      <c r="O26" s="386">
        <f t="shared" si="4"/>
        <v>1165516.8</v>
      </c>
      <c r="P26" s="386">
        <f t="shared" si="4"/>
        <v>1165516.8</v>
      </c>
      <c r="Q26" s="386">
        <f t="shared" si="4"/>
        <v>1165516.8</v>
      </c>
      <c r="R26" s="386">
        <f t="shared" si="4"/>
        <v>1165516.8</v>
      </c>
      <c r="S26" s="386">
        <f t="shared" si="6"/>
        <v>485632</v>
      </c>
      <c r="T26" s="386">
        <f t="shared" si="6"/>
        <v>291379.20000000001</v>
      </c>
      <c r="U26" s="386">
        <f t="shared" si="6"/>
        <v>0</v>
      </c>
      <c r="V26" s="386">
        <f t="shared" si="6"/>
        <v>0</v>
      </c>
      <c r="W26" s="387">
        <f t="shared" si="1"/>
        <v>9712639.9999999981</v>
      </c>
      <c r="X26" s="387">
        <f t="shared" si="3"/>
        <v>9712640</v>
      </c>
      <c r="Y26" s="387">
        <f t="shared" si="5"/>
        <v>0</v>
      </c>
      <c r="Z26"/>
      <c r="AA26"/>
    </row>
    <row r="27" spans="1:27" ht="15.75" thickBot="1">
      <c r="A27" s="173" t="str">
        <f>'Upper Cascade Financial'!A72</f>
        <v>Total Project Cost</v>
      </c>
      <c r="B27" s="168">
        <f t="shared" ref="B27:X27" si="7">SUM(B6:B26)</f>
        <v>236077391.98380002</v>
      </c>
      <c r="C27" s="164">
        <f t="shared" si="7"/>
        <v>70201285</v>
      </c>
      <c r="D27" s="164">
        <f t="shared" si="7"/>
        <v>0</v>
      </c>
      <c r="E27" s="164">
        <f t="shared" si="7"/>
        <v>0</v>
      </c>
      <c r="F27" s="164">
        <f t="shared" si="7"/>
        <v>0</v>
      </c>
      <c r="G27" s="164">
        <f t="shared" si="7"/>
        <v>0</v>
      </c>
      <c r="H27" s="164">
        <f t="shared" si="7"/>
        <v>0</v>
      </c>
      <c r="I27" s="164">
        <f t="shared" si="7"/>
        <v>8293805.3491900004</v>
      </c>
      <c r="J27" s="164">
        <f t="shared" si="7"/>
        <v>8293805.3491900004</v>
      </c>
      <c r="K27" s="164">
        <f t="shared" si="7"/>
        <v>8293805.3491900004</v>
      </c>
      <c r="L27" s="164">
        <f t="shared" si="7"/>
        <v>8293805.3491900004</v>
      </c>
      <c r="M27" s="164">
        <f t="shared" si="7"/>
        <v>19905132.838055998</v>
      </c>
      <c r="N27" s="164">
        <f t="shared" si="7"/>
        <v>19905132.838055998</v>
      </c>
      <c r="O27" s="164">
        <f t="shared" si="7"/>
        <v>19905132.838055998</v>
      </c>
      <c r="P27" s="164">
        <f t="shared" si="7"/>
        <v>19905132.838055998</v>
      </c>
      <c r="Q27" s="164">
        <f t="shared" si="7"/>
        <v>19905132.838055998</v>
      </c>
      <c r="R27" s="164">
        <f t="shared" si="7"/>
        <v>19905132.838055998</v>
      </c>
      <c r="S27" s="164">
        <f t="shared" si="7"/>
        <v>8293805.3491900004</v>
      </c>
      <c r="T27" s="164">
        <f t="shared" si="7"/>
        <v>4976283.2095139995</v>
      </c>
      <c r="U27" s="164">
        <f t="shared" si="7"/>
        <v>0</v>
      </c>
      <c r="V27" s="164">
        <f t="shared" si="7"/>
        <v>0</v>
      </c>
      <c r="W27" s="172">
        <f t="shared" si="7"/>
        <v>236077391.98380002</v>
      </c>
      <c r="X27" s="150">
        <f t="shared" si="7"/>
        <v>236077391.98380002</v>
      </c>
      <c r="Y27" s="145"/>
      <c r="Z27"/>
      <c r="AA27"/>
    </row>
    <row r="28" spans="1:27" ht="15">
      <c r="A28" s="147" t="s">
        <v>261</v>
      </c>
      <c r="B28" s="210">
        <f>IF('Upper Cascade Financial'!B76&lt;0,'Upper Cascade Financial'!B76,0)</f>
        <v>-6496000</v>
      </c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70"/>
      <c r="X28" s="420"/>
      <c r="Y28" s="145"/>
      <c r="Z28"/>
      <c r="AA28"/>
    </row>
    <row r="29" spans="1:27" ht="15.75" thickBot="1">
      <c r="A29" s="401" t="s">
        <v>262</v>
      </c>
      <c r="B29" s="471">
        <f>B27+B28</f>
        <v>229581391.98380002</v>
      </c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03"/>
      <c r="Z29"/>
      <c r="AA29"/>
    </row>
    <row r="30" spans="1:27" ht="15">
      <c r="A30" s="404" t="s">
        <v>263</v>
      </c>
      <c r="B30" s="405">
        <f>SUM(C30:V30)</f>
        <v>94430956.793520018</v>
      </c>
      <c r="C30" s="387">
        <f>C27</f>
        <v>70201285</v>
      </c>
      <c r="D30" s="387">
        <f t="shared" ref="D30:V30" si="8">IF(C31+D27&lt;=$B$31,D27,($B$31-C31))</f>
        <v>0</v>
      </c>
      <c r="E30" s="387">
        <f t="shared" si="8"/>
        <v>0</v>
      </c>
      <c r="F30" s="387">
        <f t="shared" si="8"/>
        <v>0</v>
      </c>
      <c r="G30" s="387">
        <f t="shared" si="8"/>
        <v>0</v>
      </c>
      <c r="H30" s="387">
        <f t="shared" si="8"/>
        <v>0</v>
      </c>
      <c r="I30" s="387">
        <f t="shared" si="8"/>
        <v>8293805.3491900004</v>
      </c>
      <c r="J30" s="387">
        <f t="shared" si="8"/>
        <v>8293805.3491900004</v>
      </c>
      <c r="K30" s="387">
        <f t="shared" si="8"/>
        <v>7642061.095140025</v>
      </c>
      <c r="L30" s="387">
        <f t="shared" si="8"/>
        <v>0</v>
      </c>
      <c r="M30" s="387">
        <f t="shared" si="8"/>
        <v>0</v>
      </c>
      <c r="N30" s="387">
        <f t="shared" si="8"/>
        <v>0</v>
      </c>
      <c r="O30" s="387">
        <f t="shared" si="8"/>
        <v>0</v>
      </c>
      <c r="P30" s="387">
        <f t="shared" si="8"/>
        <v>0</v>
      </c>
      <c r="Q30" s="387">
        <f t="shared" si="8"/>
        <v>0</v>
      </c>
      <c r="R30" s="387">
        <f t="shared" si="8"/>
        <v>0</v>
      </c>
      <c r="S30" s="387">
        <f t="shared" si="8"/>
        <v>0</v>
      </c>
      <c r="T30" s="387">
        <f t="shared" si="8"/>
        <v>0</v>
      </c>
      <c r="U30" s="387">
        <f t="shared" si="8"/>
        <v>0</v>
      </c>
      <c r="V30" s="387">
        <f t="shared" si="8"/>
        <v>0</v>
      </c>
      <c r="W30" s="406"/>
      <c r="X30" s="406"/>
      <c r="Y30" s="406"/>
      <c r="Z30"/>
      <c r="AA30"/>
    </row>
    <row r="31" spans="1:27" ht="15.75" thickBot="1">
      <c r="A31" s="384" t="s">
        <v>264</v>
      </c>
      <c r="B31" s="151">
        <f>'Upper Cascade Financial'!B83</f>
        <v>94430956.793520018</v>
      </c>
      <c r="C31" s="387">
        <f>C30</f>
        <v>70201285</v>
      </c>
      <c r="D31" s="387">
        <f>IF(SUM($C$30:D30)&lt;=$B31,SUM($C$30:D30),0)</f>
        <v>70201285</v>
      </c>
      <c r="E31" s="387">
        <f>IF(SUM($C$30:E30)&lt;=$B31,SUM($C$30:E30),0)</f>
        <v>70201285</v>
      </c>
      <c r="F31" s="387">
        <f>IF(SUM($C$30:F30)&lt;=$B31,SUM($C$30:F30),0)</f>
        <v>70201285</v>
      </c>
      <c r="G31" s="387">
        <f>IF(SUM($C$30:G30)&lt;=$B31,SUM($C$30:G30),0)</f>
        <v>70201285</v>
      </c>
      <c r="H31" s="387">
        <f>IF(SUM($C$30:H30)&lt;=$B31,SUM($C$30:H30),0)</f>
        <v>70201285</v>
      </c>
      <c r="I31" s="387">
        <f>IF(SUM($C$30:I30)&lt;=$B31,SUM($C$30:I30),0)</f>
        <v>78495090.349189997</v>
      </c>
      <c r="J31" s="387">
        <f>IF(SUM($C$30:J30)&lt;=$B31,SUM($C$30:J30),0)</f>
        <v>86788895.698379993</v>
      </c>
      <c r="K31" s="387">
        <f>IF(SUM($C$30:K30)&lt;=$B31,SUM($C$30:K30),0)</f>
        <v>94430956.793520018</v>
      </c>
      <c r="L31" s="387">
        <f>IF(SUM($C$30:L30)&lt;=$B31,SUM($C$30:L30),0)</f>
        <v>94430956.793520018</v>
      </c>
      <c r="M31" s="387">
        <f>IF(SUM($C$30:M30)&lt;=$B31,SUM($C$30:M30),0)</f>
        <v>94430956.793520018</v>
      </c>
      <c r="N31" s="387">
        <f>IF(SUM($C$30:N30)&lt;=$B31,SUM($C$30:N30),0)</f>
        <v>94430956.793520018</v>
      </c>
      <c r="O31" s="387">
        <f>IF(SUM($C$30:O30)&lt;=$B31,SUM($C$30:O30),0)</f>
        <v>94430956.793520018</v>
      </c>
      <c r="P31" s="387">
        <f>IF(SUM($C$30:P30)&lt;=$B31,SUM($C$30:P30),0)</f>
        <v>94430956.793520018</v>
      </c>
      <c r="Q31" s="387">
        <f>IF(SUM($C$30:Q30)&lt;=$B31,SUM($C$30:Q30),0)</f>
        <v>94430956.793520018</v>
      </c>
      <c r="R31" s="387">
        <f>IF(SUM($C$30:R30)&lt;=$B31,SUM($C$30:R30),0)</f>
        <v>94430956.793520018</v>
      </c>
      <c r="S31" s="387">
        <f>IF(SUM($C$30:S30)&lt;=$B31,SUM($C$30:S30),0)</f>
        <v>94430956.793520018</v>
      </c>
      <c r="T31" s="387">
        <f>IF(SUM($C$30:T30)&lt;=$B31,SUM($C$30:T30),0)</f>
        <v>94430956.793520018</v>
      </c>
      <c r="U31" s="387">
        <f>IF(SUM($C$30:U30)&lt;=$B31,SUM($C$30:U30),0)</f>
        <v>94430956.793520018</v>
      </c>
      <c r="V31" s="387">
        <f>IF(SUM($C$30:V30)&lt;=$B31,SUM($C$30:V30),0)</f>
        <v>94430956.793520018</v>
      </c>
      <c r="W31" s="406"/>
      <c r="X31" s="406"/>
      <c r="Y31" s="406"/>
      <c r="Z31"/>
      <c r="AA31"/>
    </row>
    <row r="32" spans="1:27" ht="15">
      <c r="A32" s="152" t="s">
        <v>265</v>
      </c>
      <c r="B32" s="153">
        <f>'Upper Cascade Financial'!B82</f>
        <v>141646435.19028002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7"/>
      <c r="X32" s="407"/>
      <c r="Y32" s="406"/>
      <c r="Z32"/>
      <c r="AA32"/>
    </row>
    <row r="33" spans="1:27" ht="15.75" thickBot="1">
      <c r="A33" s="409" t="s">
        <v>266</v>
      </c>
      <c r="B33" s="410">
        <f>PMT(0.045,30,(B32))</f>
        <v>-8695893.2038333341</v>
      </c>
      <c r="C33" s="407"/>
      <c r="D33" s="408"/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8"/>
      <c r="V33" s="408"/>
      <c r="W33" s="407"/>
      <c r="X33" s="407"/>
      <c r="Y33" s="406"/>
      <c r="Z33"/>
      <c r="AA33"/>
    </row>
    <row r="34" spans="1:27" ht="15">
      <c r="A34" s="154" t="s">
        <v>267</v>
      </c>
      <c r="B34" s="155">
        <f>SUM(C34:W34)</f>
        <v>0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412"/>
      <c r="X34" s="407"/>
      <c r="Y34" s="406"/>
      <c r="Z34"/>
      <c r="AA34"/>
    </row>
    <row r="35" spans="1:27" ht="15">
      <c r="A35" s="1317" t="s">
        <v>268</v>
      </c>
      <c r="B35" s="1318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412"/>
      <c r="X35" s="408"/>
      <c r="Y35" s="406"/>
      <c r="Z35"/>
      <c r="AA35"/>
    </row>
    <row r="36" spans="1:27" ht="15">
      <c r="A36" s="404" t="s">
        <v>269</v>
      </c>
      <c r="B36" s="405">
        <f>'Upper Cascade Financial'!B90+'Upper Cascade Financial'!B91</f>
        <v>150840664.80971998</v>
      </c>
      <c r="C36" s="412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4"/>
      <c r="X36" s="415"/>
      <c r="Y36" s="416"/>
      <c r="Z36"/>
      <c r="AA36"/>
    </row>
    <row r="37" spans="1:27" ht="15">
      <c r="A37" s="404" t="s">
        <v>286</v>
      </c>
      <c r="B37" s="233">
        <f>SUM(C37:V37)</f>
        <v>56409708.016199961</v>
      </c>
      <c r="C37" s="417">
        <f t="shared" ref="C37:U37" si="9">-C30</f>
        <v>-70201285</v>
      </c>
      <c r="D37" s="417">
        <f t="shared" si="9"/>
        <v>0</v>
      </c>
      <c r="E37" s="417">
        <f t="shared" si="9"/>
        <v>0</v>
      </c>
      <c r="F37" s="417">
        <f t="shared" si="9"/>
        <v>0</v>
      </c>
      <c r="G37" s="417">
        <f t="shared" si="9"/>
        <v>0</v>
      </c>
      <c r="H37" s="417">
        <f t="shared" si="9"/>
        <v>0</v>
      </c>
      <c r="I37" s="417">
        <f t="shared" si="9"/>
        <v>-8293805.3491900004</v>
      </c>
      <c r="J37" s="417">
        <f t="shared" si="9"/>
        <v>-8293805.3491900004</v>
      </c>
      <c r="K37" s="417">
        <f t="shared" si="9"/>
        <v>-7642061.095140025</v>
      </c>
      <c r="L37" s="417">
        <f t="shared" si="9"/>
        <v>0</v>
      </c>
      <c r="M37" s="417">
        <f t="shared" si="9"/>
        <v>0</v>
      </c>
      <c r="N37" s="417">
        <f t="shared" si="9"/>
        <v>0</v>
      </c>
      <c r="O37" s="417">
        <f t="shared" si="9"/>
        <v>0</v>
      </c>
      <c r="P37" s="417">
        <f t="shared" si="9"/>
        <v>0</v>
      </c>
      <c r="Q37" s="417">
        <f t="shared" si="9"/>
        <v>0</v>
      </c>
      <c r="R37" s="417">
        <f t="shared" si="9"/>
        <v>0</v>
      </c>
      <c r="S37" s="417">
        <f t="shared" si="9"/>
        <v>0</v>
      </c>
      <c r="T37" s="417">
        <f t="shared" si="9"/>
        <v>0</v>
      </c>
      <c r="U37" s="417">
        <f t="shared" si="9"/>
        <v>0</v>
      </c>
      <c r="V37" s="418">
        <f>B36</f>
        <v>150840664.80971998</v>
      </c>
      <c r="W37" s="160"/>
      <c r="X37" s="417"/>
      <c r="Y37" s="387"/>
      <c r="Z37"/>
      <c r="AA37"/>
    </row>
    <row r="38" spans="1:27" ht="15">
      <c r="A38" s="404" t="s">
        <v>271</v>
      </c>
      <c r="B38" s="231">
        <f>IF(B37&lt;0,0,IRR(C37:V37))</f>
        <v>2.7387467961892842E-2</v>
      </c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14"/>
      <c r="X38" s="420"/>
      <c r="Y38" s="421"/>
      <c r="Z38"/>
      <c r="AA38"/>
    </row>
    <row r="39" spans="1:27" ht="15">
      <c r="A39" s="394" t="s">
        <v>272</v>
      </c>
      <c r="B39" s="232">
        <f>POWER((1+B38),4)-1</f>
        <v>0.11413304531085666</v>
      </c>
      <c r="C39" s="414"/>
      <c r="D39" s="414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4"/>
      <c r="Q39" s="423"/>
      <c r="R39" s="423"/>
      <c r="S39" s="423"/>
      <c r="T39" s="423"/>
      <c r="U39" s="423"/>
      <c r="V39" s="424"/>
      <c r="W39" s="423"/>
      <c r="X39" s="423"/>
      <c r="Y39" s="425"/>
      <c r="Z39"/>
      <c r="AA39"/>
    </row>
    <row r="40" spans="1:27">
      <c r="A40" s="1302" t="s">
        <v>273</v>
      </c>
      <c r="B40" s="1317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394"/>
    </row>
    <row r="41" spans="1:27">
      <c r="A41" s="404" t="s">
        <v>274</v>
      </c>
      <c r="B41" s="475">
        <f>'Upper Cascade Financial'!B90+'Upper Cascade Financial'!B80</f>
        <v>285991100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08"/>
      <c r="N41" s="414"/>
      <c r="O41" s="414"/>
      <c r="P41" s="414"/>
      <c r="Q41" s="414"/>
      <c r="R41" s="414"/>
      <c r="S41" s="408"/>
      <c r="T41" s="414"/>
      <c r="U41" s="414"/>
      <c r="V41" s="414"/>
      <c r="W41" s="414"/>
      <c r="X41" s="414"/>
      <c r="Y41" s="394"/>
    </row>
    <row r="42" spans="1:27">
      <c r="A42" s="404" t="s">
        <v>275</v>
      </c>
      <c r="B42" s="233">
        <f>SUM(C42:V42)</f>
        <v>49913708.016200036</v>
      </c>
      <c r="C42" s="387">
        <f t="shared" ref="C42:U42" si="10">-C27</f>
        <v>-70201285</v>
      </c>
      <c r="D42" s="387">
        <f t="shared" si="10"/>
        <v>0</v>
      </c>
      <c r="E42" s="387">
        <f t="shared" si="10"/>
        <v>0</v>
      </c>
      <c r="F42" s="387">
        <f t="shared" si="10"/>
        <v>0</v>
      </c>
      <c r="G42" s="387">
        <f t="shared" si="10"/>
        <v>0</v>
      </c>
      <c r="H42" s="387">
        <f t="shared" si="10"/>
        <v>0</v>
      </c>
      <c r="I42" s="387">
        <f t="shared" si="10"/>
        <v>-8293805.3491900004</v>
      </c>
      <c r="J42" s="387">
        <f t="shared" si="10"/>
        <v>-8293805.3491900004</v>
      </c>
      <c r="K42" s="387">
        <f t="shared" si="10"/>
        <v>-8293805.3491900004</v>
      </c>
      <c r="L42" s="387">
        <f t="shared" si="10"/>
        <v>-8293805.3491900004</v>
      </c>
      <c r="M42" s="387">
        <f t="shared" si="10"/>
        <v>-19905132.838055998</v>
      </c>
      <c r="N42" s="387">
        <f t="shared" si="10"/>
        <v>-19905132.838055998</v>
      </c>
      <c r="O42" s="387">
        <f t="shared" si="10"/>
        <v>-19905132.838055998</v>
      </c>
      <c r="P42" s="387">
        <f t="shared" si="10"/>
        <v>-19905132.838055998</v>
      </c>
      <c r="Q42" s="387">
        <f t="shared" si="10"/>
        <v>-19905132.838055998</v>
      </c>
      <c r="R42" s="387">
        <f t="shared" si="10"/>
        <v>-19905132.838055998</v>
      </c>
      <c r="S42" s="387">
        <f t="shared" si="10"/>
        <v>-8293805.3491900004</v>
      </c>
      <c r="T42" s="387">
        <f t="shared" si="10"/>
        <v>-4976283.2095139995</v>
      </c>
      <c r="U42" s="387">
        <f t="shared" si="10"/>
        <v>0</v>
      </c>
      <c r="V42" s="421">
        <f>-V27+B41</f>
        <v>285991100</v>
      </c>
      <c r="W42" s="476"/>
      <c r="X42" s="394"/>
      <c r="Y42" s="394"/>
    </row>
    <row r="43" spans="1:27">
      <c r="A43" s="404" t="s">
        <v>276</v>
      </c>
      <c r="B43" s="231">
        <f>IF(B42&lt;0,0,IRR(C42:V42))</f>
        <v>1.7574584465136489E-2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394"/>
    </row>
    <row r="44" spans="1:27">
      <c r="A44" s="394" t="s">
        <v>277</v>
      </c>
      <c r="B44" s="422">
        <f>POWER((1+B43),4)-1</f>
        <v>7.2173342141262919E-2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394"/>
    </row>
    <row r="45" spans="1:27">
      <c r="G45" s="21"/>
    </row>
    <row r="46" spans="1:27">
      <c r="G46" s="21"/>
    </row>
    <row r="47" spans="1:27">
      <c r="G47" s="21"/>
    </row>
    <row r="48" spans="1:27">
      <c r="G48" s="21"/>
    </row>
    <row r="49" spans="7:7">
      <c r="G49" s="21"/>
    </row>
    <row r="50" spans="7:7">
      <c r="G50" s="21"/>
    </row>
    <row r="51" spans="7:7">
      <c r="G51" s="21"/>
    </row>
    <row r="52" spans="7:7">
      <c r="G52" s="21"/>
    </row>
    <row r="53" spans="7:7">
      <c r="G53" s="21"/>
    </row>
    <row r="54" spans="7:7">
      <c r="G54" s="21"/>
    </row>
    <row r="55" spans="7:7">
      <c r="G55" s="21"/>
    </row>
    <row r="56" spans="7:7">
      <c r="G56" s="21"/>
    </row>
    <row r="57" spans="7:7">
      <c r="G57" s="21"/>
    </row>
    <row r="58" spans="7:7">
      <c r="G58" s="21"/>
    </row>
    <row r="59" spans="7:7">
      <c r="G59" s="21"/>
    </row>
    <row r="60" spans="7:7">
      <c r="G60" s="21"/>
    </row>
    <row r="61" spans="7:7">
      <c r="G61" s="21"/>
    </row>
    <row r="62" spans="7:7">
      <c r="G62" s="21"/>
    </row>
    <row r="63" spans="7:7">
      <c r="G63" s="21"/>
    </row>
    <row r="64" spans="7: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</sheetData>
  <mergeCells count="4">
    <mergeCell ref="A1:A4"/>
    <mergeCell ref="W2:Y2"/>
    <mergeCell ref="A35:B35"/>
    <mergeCell ref="A40:B40"/>
  </mergeCells>
  <conditionalFormatting sqref="D4:V4">
    <cfRule type="cellIs" dxfId="51" priority="1" operator="equal">
      <formula>#REF!</formula>
    </cfRule>
    <cfRule type="cellIs" dxfId="50" priority="2" operator="equal">
      <formula>#REF!</formula>
    </cfRule>
    <cfRule type="cellIs" dxfId="49" priority="3" operator="equal">
      <formula>#REF!</formula>
    </cfRule>
    <cfRule type="cellIs" dxfId="48" priority="4" operator="equal">
      <formula>#REF!</formula>
    </cfRule>
  </conditionalFormatting>
  <conditionalFormatting sqref="W4:Y4">
    <cfRule type="cellIs" dxfId="47" priority="13" operator="equal">
      <formula>#REF!</formula>
    </cfRule>
    <cfRule type="cellIs" dxfId="46" priority="14" operator="equal">
      <formula>#REF!</formula>
    </cfRule>
    <cfRule type="cellIs" dxfId="45" priority="15" operator="equal">
      <formula>#REF!</formula>
    </cfRule>
    <cfRule type="cellIs" dxfId="44" priority="16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E2B2-F63D-4E20-9F69-425BD4EB3890}">
  <sheetPr>
    <tabColor theme="6" tint="-0.249977111117893"/>
    <pageSetUpPr fitToPage="1"/>
  </sheetPr>
  <dimension ref="A1:S116"/>
  <sheetViews>
    <sheetView showGridLines="0" zoomScaleNormal="100" zoomScaleSheetLayoutView="90" workbookViewId="0">
      <selection activeCell="F5" sqref="F5:F8"/>
    </sheetView>
  </sheetViews>
  <sheetFormatPr defaultColWidth="8.85546875" defaultRowHeight="23.25" customHeight="1"/>
  <cols>
    <col min="1" max="1" width="38.42578125" style="21" bestFit="1" customWidth="1"/>
    <col min="2" max="2" width="26.5703125" style="21" customWidth="1"/>
    <col min="3" max="3" width="22.42578125" style="21" bestFit="1" customWidth="1"/>
    <col min="4" max="4" width="14.28515625" style="21" customWidth="1"/>
    <col min="5" max="5" width="20" style="21" customWidth="1"/>
    <col min="6" max="6" width="17.7109375" style="21" customWidth="1"/>
    <col min="7" max="7" width="24.7109375" style="21" customWidth="1"/>
    <col min="8" max="8" width="10.28515625" style="21" customWidth="1"/>
    <col min="9" max="9" width="8.42578125" style="21" customWidth="1"/>
    <col min="10" max="10" width="11" style="21" customWidth="1"/>
    <col min="11" max="11" width="18.7109375" style="21" customWidth="1"/>
    <col min="12" max="12" width="20.28515625" style="21" customWidth="1"/>
    <col min="13" max="16384" width="8.85546875" style="21"/>
  </cols>
  <sheetData>
    <row r="1" spans="1:19" ht="16.5" thickBot="1">
      <c r="A1" s="1343" t="s">
        <v>168</v>
      </c>
      <c r="B1" s="1344"/>
      <c r="C1" s="1344"/>
      <c r="D1" s="1362" t="str">
        <f>'Development Program'!B10</f>
        <v>Rainier Tower Apts</v>
      </c>
      <c r="E1" s="1363"/>
    </row>
    <row r="2" spans="1:19" ht="12.75">
      <c r="A2" s="22"/>
      <c r="B2" s="23"/>
      <c r="C2" s="23"/>
      <c r="D2" s="1030">
        <v>0</v>
      </c>
      <c r="E2" s="1165" t="s">
        <v>169</v>
      </c>
    </row>
    <row r="3" spans="1:19" ht="12.75">
      <c r="A3" s="24" t="s">
        <v>287</v>
      </c>
      <c r="B3" s="25" t="s">
        <v>171</v>
      </c>
      <c r="C3" s="25" t="s">
        <v>288</v>
      </c>
      <c r="D3" s="25" t="s">
        <v>289</v>
      </c>
      <c r="E3" s="26" t="s">
        <v>290</v>
      </c>
    </row>
    <row r="4" spans="1:19" ht="12.75">
      <c r="A4" s="719" t="s">
        <v>445</v>
      </c>
      <c r="B4" s="1044"/>
      <c r="C4" s="1045"/>
      <c r="D4" s="1044"/>
      <c r="E4" s="1046"/>
      <c r="F4" s="764"/>
      <c r="G4" s="644"/>
      <c r="H4" s="644"/>
      <c r="I4" s="644"/>
      <c r="J4" s="644"/>
      <c r="K4" s="643"/>
      <c r="L4" s="884"/>
      <c r="M4" s="884"/>
      <c r="N4" s="884"/>
      <c r="O4" s="884"/>
      <c r="P4" s="895"/>
      <c r="Q4" s="644"/>
      <c r="R4" s="884"/>
      <c r="S4" s="884"/>
    </row>
    <row r="5" spans="1:19" ht="12.75">
      <c r="A5" s="1151">
        <f>B5/B9</f>
        <v>0.25635593220338981</v>
      </c>
      <c r="B5" s="1149">
        <v>121</v>
      </c>
      <c r="C5" s="1149">
        <v>500</v>
      </c>
      <c r="D5" s="1150">
        <v>4.5</v>
      </c>
      <c r="E5" s="1145">
        <f>12*B5*C5*D5</f>
        <v>3267000</v>
      </c>
      <c r="F5" s="896">
        <f>D5*C5</f>
        <v>2250</v>
      </c>
      <c r="G5" s="897"/>
      <c r="H5" s="813"/>
      <c r="I5" s="813"/>
      <c r="J5" s="898"/>
      <c r="M5" s="880"/>
      <c r="N5" s="881"/>
      <c r="O5" s="882"/>
      <c r="P5" s="882"/>
      <c r="Q5" s="882"/>
      <c r="R5" s="899"/>
      <c r="S5" s="884"/>
    </row>
    <row r="6" spans="1:19" ht="12.75">
      <c r="A6" s="1152">
        <f>B6/B9</f>
        <v>0.55084745762711862</v>
      </c>
      <c r="B6" s="1149">
        <v>260</v>
      </c>
      <c r="C6" s="1149">
        <v>700</v>
      </c>
      <c r="D6" s="1150">
        <v>4.0999999999999996</v>
      </c>
      <c r="E6" s="1145">
        <f>12*B6*C6*D6</f>
        <v>8954400</v>
      </c>
      <c r="F6" s="896">
        <f t="shared" ref="F6:F8" si="0">D6*C6</f>
        <v>2869.9999999999995</v>
      </c>
      <c r="G6" s="897"/>
      <c r="H6" s="813"/>
      <c r="I6" s="813"/>
      <c r="J6" s="898"/>
      <c r="M6" s="880"/>
      <c r="N6" s="881"/>
      <c r="O6" s="882"/>
      <c r="P6" s="882"/>
      <c r="Q6" s="882"/>
      <c r="R6" s="882"/>
      <c r="S6" s="814"/>
    </row>
    <row r="7" spans="1:19" ht="12.75">
      <c r="A7" s="1153">
        <f>B7/B9</f>
        <v>0.1271186440677966</v>
      </c>
      <c r="B7" s="1149">
        <v>60</v>
      </c>
      <c r="C7" s="1149">
        <v>1000</v>
      </c>
      <c r="D7" s="1150">
        <v>3.6</v>
      </c>
      <c r="E7" s="1145">
        <f>12*B7*C7*D7</f>
        <v>2592000</v>
      </c>
      <c r="F7" s="896">
        <f t="shared" si="0"/>
        <v>3600</v>
      </c>
      <c r="G7" s="897"/>
      <c r="H7" s="813"/>
      <c r="I7" s="813"/>
      <c r="J7" s="898"/>
      <c r="M7" s="880"/>
      <c r="N7" s="881"/>
      <c r="O7" s="882"/>
      <c r="P7" s="882"/>
      <c r="Q7" s="882"/>
      <c r="R7" s="882"/>
      <c r="S7" s="814"/>
    </row>
    <row r="8" spans="1:19" ht="12.75">
      <c r="A8" s="1154">
        <f>B8/B9</f>
        <v>6.5677966101694921E-2</v>
      </c>
      <c r="B8" s="1149">
        <v>31</v>
      </c>
      <c r="C8" s="1149">
        <v>1200</v>
      </c>
      <c r="D8" s="1150">
        <v>3.55</v>
      </c>
      <c r="E8" s="1145">
        <f>12*B8*C8*D8</f>
        <v>1584720</v>
      </c>
      <c r="F8" s="896">
        <f t="shared" si="0"/>
        <v>4260</v>
      </c>
      <c r="G8" s="897"/>
      <c r="H8" s="813"/>
      <c r="I8" s="813"/>
      <c r="J8" s="898"/>
      <c r="M8" s="880"/>
      <c r="N8" s="881"/>
      <c r="O8" s="882"/>
      <c r="P8" s="882"/>
      <c r="Q8" s="882"/>
      <c r="R8" s="882"/>
      <c r="S8" s="814"/>
    </row>
    <row r="9" spans="1:19" ht="12.75">
      <c r="A9" s="1155" t="s">
        <v>446</v>
      </c>
      <c r="B9" s="1157">
        <f>SUM(B5:B8)</f>
        <v>472</v>
      </c>
      <c r="C9" s="1157">
        <f>+SUMPRODUCT(C5:C8,B5:B8)/B9</f>
        <v>719.70338983050851</v>
      </c>
      <c r="D9" s="730">
        <f>+SUM(E5:E8)/(C9*B9)/12</f>
        <v>4.0226964969090373</v>
      </c>
      <c r="E9" s="1146">
        <f>SUM(E5:E8)</f>
        <v>16398120</v>
      </c>
      <c r="K9" s="773"/>
      <c r="L9" s="205"/>
      <c r="M9" s="880"/>
      <c r="N9" s="886"/>
      <c r="O9" s="887"/>
      <c r="P9" s="900"/>
      <c r="Q9" s="900"/>
      <c r="R9" s="887"/>
      <c r="S9" s="901"/>
    </row>
    <row r="10" spans="1:19" ht="12.75">
      <c r="A10" s="1156" t="s">
        <v>447</v>
      </c>
      <c r="B10" s="1049"/>
      <c r="C10" s="1045"/>
      <c r="D10" s="1044"/>
      <c r="E10" s="1147"/>
    </row>
    <row r="11" spans="1:19" ht="12.75">
      <c r="A11" s="1151">
        <f>B11/B15</f>
        <v>0.26190476190476192</v>
      </c>
      <c r="B11" s="1149">
        <f>143-121</f>
        <v>22</v>
      </c>
      <c r="C11" s="1149">
        <f>C5</f>
        <v>500</v>
      </c>
      <c r="D11" s="282">
        <v>2.39</v>
      </c>
      <c r="E11" s="1145">
        <f>12*B11*C11*D11</f>
        <v>315480</v>
      </c>
    </row>
    <row r="12" spans="1:19" ht="12.75">
      <c r="A12" s="1152">
        <f>B12/B15</f>
        <v>0.54761904761904767</v>
      </c>
      <c r="B12" s="1149">
        <v>46</v>
      </c>
      <c r="C12" s="1149">
        <f t="shared" ref="C12:C14" si="1">C6</f>
        <v>700</v>
      </c>
      <c r="D12" s="282">
        <v>2.92</v>
      </c>
      <c r="E12" s="1145">
        <f>12*B12*C12*D12</f>
        <v>1128288</v>
      </c>
    </row>
    <row r="13" spans="1:19" ht="12.75">
      <c r="A13" s="1153">
        <f>B13/B15</f>
        <v>0.13095238095238096</v>
      </c>
      <c r="B13" s="1149">
        <v>11</v>
      </c>
      <c r="C13" s="1149">
        <f t="shared" si="1"/>
        <v>1000</v>
      </c>
      <c r="D13" s="282">
        <v>2.71</v>
      </c>
      <c r="E13" s="1145">
        <f>12*B13*C13*D13</f>
        <v>357720</v>
      </c>
    </row>
    <row r="14" spans="1:19" ht="12.75">
      <c r="A14" s="1154">
        <f>B14/B15</f>
        <v>5.9523809523809521E-2</v>
      </c>
      <c r="B14" s="1149">
        <v>5</v>
      </c>
      <c r="C14" s="1149">
        <f t="shared" si="1"/>
        <v>1200</v>
      </c>
      <c r="D14" s="282">
        <v>2.67</v>
      </c>
      <c r="E14" s="1145">
        <f>12*B14*C14*D14</f>
        <v>192240</v>
      </c>
      <c r="H14" s="813"/>
      <c r="I14" s="814"/>
      <c r="J14" s="813"/>
      <c r="K14" s="814"/>
    </row>
    <row r="15" spans="1:19" ht="13.5" thickBot="1">
      <c r="A15" s="727" t="s">
        <v>448</v>
      </c>
      <c r="B15" s="1157">
        <f>SUM(B11:B14)</f>
        <v>84</v>
      </c>
      <c r="C15" s="1157">
        <f>SUMPRODUCT(C11:C14,B11:B14)/B15</f>
        <v>716.66666666666663</v>
      </c>
      <c r="D15" s="730">
        <f>+SUM(E11:E14)/(C15*B15)/12</f>
        <v>2.7598671096345515</v>
      </c>
      <c r="E15" s="1146">
        <f>SUM(E11:E14)</f>
        <v>1993728</v>
      </c>
      <c r="F15" s="735"/>
      <c r="H15" s="813"/>
      <c r="I15" s="814"/>
      <c r="J15" s="813"/>
      <c r="K15" s="814"/>
    </row>
    <row r="16" spans="1:19" ht="14.25" thickTop="1" thickBot="1">
      <c r="A16" s="27" t="s">
        <v>449</v>
      </c>
      <c r="B16" s="28">
        <f>+B9+B15</f>
        <v>556</v>
      </c>
      <c r="C16" s="29">
        <f>B5*C5+B6*C6+B7*C7+B8*C8+B14*C14+B11*C11+B12*C12+B13*C13</f>
        <v>399900</v>
      </c>
      <c r="D16" s="30"/>
      <c r="E16" s="860">
        <f>E15+E9</f>
        <v>18391848</v>
      </c>
      <c r="H16" s="813"/>
      <c r="I16" s="814"/>
      <c r="J16" s="813"/>
      <c r="K16" s="814"/>
    </row>
    <row r="17" spans="1:11" ht="14.25" thickTop="1" thickBot="1">
      <c r="A17" s="31" t="s">
        <v>177</v>
      </c>
      <c r="B17" s="32"/>
      <c r="C17" s="33">
        <f>C15</f>
        <v>716.66666666666663</v>
      </c>
      <c r="D17" s="34">
        <f>E16/C16/12</f>
        <v>3.8325931482870721</v>
      </c>
      <c r="E17" s="861"/>
      <c r="H17" s="813"/>
      <c r="I17" s="814"/>
      <c r="J17" s="813"/>
      <c r="K17" s="814"/>
    </row>
    <row r="18" spans="1:11" ht="12.75">
      <c r="I18" s="735"/>
      <c r="K18" s="735"/>
    </row>
    <row r="19" spans="1:11" ht="12.75">
      <c r="A19" s="24" t="s">
        <v>178</v>
      </c>
      <c r="B19" s="25" t="s">
        <v>179</v>
      </c>
      <c r="C19" s="25" t="s">
        <v>180</v>
      </c>
      <c r="D19" s="25" t="s">
        <v>174</v>
      </c>
    </row>
    <row r="20" spans="1:11" ht="12.75">
      <c r="A20" s="736" t="s">
        <v>466</v>
      </c>
      <c r="B20" s="737">
        <f>61453+50000</f>
        <v>111453</v>
      </c>
      <c r="C20" s="738">
        <v>35</v>
      </c>
      <c r="D20" s="291">
        <f>B20*C20</f>
        <v>3900855</v>
      </c>
    </row>
    <row r="21" spans="1:11" ht="13.5" thickBot="1">
      <c r="A21" s="47" t="s">
        <v>181</v>
      </c>
      <c r="B21" s="905">
        <f>SUM(B20:B20)</f>
        <v>111453</v>
      </c>
      <c r="C21" s="906">
        <f>IF(B21=0,0,D21/B21)</f>
        <v>35</v>
      </c>
      <c r="D21" s="907">
        <f>SUM(D20:D20)</f>
        <v>3900855</v>
      </c>
    </row>
    <row r="22" spans="1:11" ht="13.5" thickBot="1">
      <c r="A22" s="54" t="s">
        <v>176</v>
      </c>
      <c r="B22" s="902">
        <f>B16</f>
        <v>556</v>
      </c>
      <c r="C22" s="903">
        <f>C16+B20</f>
        <v>511353</v>
      </c>
      <c r="D22" s="904"/>
      <c r="E22" s="1166">
        <f>E16+D21</f>
        <v>22292703</v>
      </c>
    </row>
    <row r="23" spans="1:11" ht="14.25" thickTop="1" thickBot="1">
      <c r="A23" s="31" t="s">
        <v>177</v>
      </c>
      <c r="B23" s="32"/>
      <c r="C23" s="33">
        <f>C16/B22</f>
        <v>719.24460431654677</v>
      </c>
      <c r="D23" s="34">
        <f>(E22/12)/C22</f>
        <v>3.6329604989117108</v>
      </c>
      <c r="E23" s="35"/>
    </row>
    <row r="24" spans="1:11" ht="12.75">
      <c r="A24" s="748" t="s">
        <v>182</v>
      </c>
      <c r="B24" s="749"/>
    </row>
    <row r="25" spans="1:11" ht="12.75">
      <c r="A25" s="256" t="s">
        <v>183</v>
      </c>
      <c r="B25" s="298">
        <f>B22</f>
        <v>556</v>
      </c>
      <c r="C25" s="45"/>
      <c r="D25" s="46"/>
    </row>
    <row r="26" spans="1:11" ht="13.5" thickBot="1">
      <c r="A26" s="263" t="s">
        <v>184</v>
      </c>
      <c r="B26" s="298">
        <f>B21/1000</f>
        <v>111.453</v>
      </c>
      <c r="C26" s="45"/>
      <c r="D26" s="46"/>
    </row>
    <row r="27" spans="1:11" ht="14.25" thickTop="1" thickBot="1">
      <c r="A27" s="47" t="s">
        <v>185</v>
      </c>
      <c r="B27" s="48">
        <f>B25+B26</f>
        <v>667.45299999999997</v>
      </c>
      <c r="C27" s="45"/>
      <c r="D27" s="46"/>
    </row>
    <row r="28" spans="1:11" ht="12.75">
      <c r="A28" s="748" t="s">
        <v>186</v>
      </c>
      <c r="B28" s="768" t="str">
        <f>D1</f>
        <v>Rainier Tower Apts</v>
      </c>
      <c r="C28" s="49"/>
      <c r="D28" s="49"/>
      <c r="E28" s="49"/>
    </row>
    <row r="29" spans="1:11" ht="12.75">
      <c r="A29" s="301" t="s">
        <v>187</v>
      </c>
      <c r="B29" s="302">
        <f>'[13]Development Program'!D7</f>
        <v>59242</v>
      </c>
      <c r="C29" s="50"/>
      <c r="D29" s="51"/>
      <c r="E29" s="49"/>
    </row>
    <row r="30" spans="1:11" ht="12.75">
      <c r="A30" s="301" t="s">
        <v>188</v>
      </c>
      <c r="B30" s="302">
        <f>C22</f>
        <v>511353</v>
      </c>
      <c r="C30" s="50"/>
      <c r="D30" s="51"/>
      <c r="E30" s="49"/>
    </row>
    <row r="31" spans="1:11" ht="12.75">
      <c r="A31" s="303">
        <v>400</v>
      </c>
      <c r="B31" s="302">
        <f>B27*A31</f>
        <v>266981.2</v>
      </c>
      <c r="C31" s="50"/>
      <c r="D31" s="51"/>
      <c r="E31" s="49"/>
    </row>
    <row r="32" spans="1:11" ht="12.75">
      <c r="A32" s="431">
        <v>0.2</v>
      </c>
      <c r="B32" s="302">
        <f>(1+A32)*(B30+B31)</f>
        <v>934001.03999999992</v>
      </c>
      <c r="C32" s="50"/>
      <c r="D32" s="51"/>
      <c r="E32" s="49"/>
    </row>
    <row r="33" spans="1:5" ht="23.25" customHeight="1" thickBot="1">
      <c r="A33" s="432">
        <v>10</v>
      </c>
      <c r="B33" s="306">
        <f>B32/A33</f>
        <v>93400.103999999992</v>
      </c>
      <c r="C33" s="50"/>
      <c r="D33" s="51"/>
      <c r="E33" s="49"/>
    </row>
    <row r="34" spans="1:5" ht="13.5" thickBot="1">
      <c r="A34" s="1336" t="s">
        <v>189</v>
      </c>
      <c r="B34" s="1337"/>
      <c r="C34" s="1364" t="str">
        <f>C49</f>
        <v>Rainier Tower Apts</v>
      </c>
      <c r="D34" s="1335"/>
      <c r="E34" s="49"/>
    </row>
    <row r="35" spans="1:5" ht="30.6" customHeight="1" thickBot="1">
      <c r="A35" s="1082" t="s">
        <v>190</v>
      </c>
      <c r="B35" s="1159" t="s">
        <v>191</v>
      </c>
      <c r="C35" s="1159" t="s">
        <v>192</v>
      </c>
      <c r="D35" s="1084" t="s">
        <v>193</v>
      </c>
      <c r="E35" s="49"/>
    </row>
    <row r="36" spans="1:5" ht="31.35" customHeight="1">
      <c r="A36" s="310" t="s">
        <v>194</v>
      </c>
      <c r="B36" s="1008">
        <f>D36/B22</f>
        <v>33078.86330935252</v>
      </c>
      <c r="C36" s="1009">
        <f>D36/C22</f>
        <v>35.967028647529204</v>
      </c>
      <c r="D36" s="1167">
        <f>E16</f>
        <v>18391848</v>
      </c>
      <c r="E36" s="49"/>
    </row>
    <row r="37" spans="1:5" ht="12.75">
      <c r="A37" s="313">
        <f>B21</f>
        <v>111453</v>
      </c>
      <c r="B37" s="1296" t="s">
        <v>195</v>
      </c>
      <c r="C37" s="1296"/>
      <c r="D37" s="1167">
        <f>D21</f>
        <v>3900855</v>
      </c>
      <c r="E37" s="49"/>
    </row>
    <row r="38" spans="1:5" ht="12.75">
      <c r="A38" s="1087"/>
      <c r="B38" s="1332" t="s">
        <v>196</v>
      </c>
      <c r="C38" s="1332"/>
      <c r="D38" s="1088">
        <f>SUM(D36:D37)</f>
        <v>22292703</v>
      </c>
      <c r="E38" s="49"/>
    </row>
    <row r="39" spans="1:5" ht="12.75">
      <c r="A39" s="1062" t="s">
        <v>197</v>
      </c>
      <c r="B39" s="315" t="s">
        <v>198</v>
      </c>
      <c r="C39" s="315" t="s">
        <v>199</v>
      </c>
      <c r="D39" s="1088"/>
    </row>
    <row r="40" spans="1:5" ht="12.75">
      <c r="A40" s="1087" t="s">
        <v>278</v>
      </c>
      <c r="B40" s="317">
        <v>350</v>
      </c>
      <c r="C40" s="318">
        <f>D40/C22</f>
        <v>5.4821280015957656</v>
      </c>
      <c r="D40" s="1020">
        <f>B40*B27*12</f>
        <v>2803302.5999999996</v>
      </c>
    </row>
    <row r="41" spans="1:5" ht="12.75">
      <c r="A41" s="1087" t="s">
        <v>201</v>
      </c>
      <c r="B41" s="317">
        <v>250</v>
      </c>
      <c r="C41" s="318">
        <f>D41/C22</f>
        <v>3.2619345149045769</v>
      </c>
      <c r="D41" s="1060">
        <f>B41*B16*12</f>
        <v>1668000</v>
      </c>
    </row>
    <row r="42" spans="1:5" ht="13.5" thickBot="1">
      <c r="A42" s="54" t="s">
        <v>202</v>
      </c>
      <c r="B42" s="1341"/>
      <c r="C42" s="1342"/>
      <c r="D42" s="55">
        <f>SUM(D40:D41)</f>
        <v>4471302.5999999996</v>
      </c>
    </row>
    <row r="43" spans="1:5" ht="14.25" thickTop="1" thickBot="1">
      <c r="A43" s="56">
        <v>0.05</v>
      </c>
      <c r="B43" s="1348"/>
      <c r="C43" s="1349"/>
      <c r="D43" s="57">
        <f>-A43*D38</f>
        <v>-1114635.1500000001</v>
      </c>
    </row>
    <row r="44" spans="1:5" ht="14.25" thickTop="1" thickBot="1">
      <c r="A44" s="319" t="s">
        <v>203</v>
      </c>
      <c r="B44" s="58">
        <f>D44/B22</f>
        <v>46131.9612410072</v>
      </c>
      <c r="C44" s="320">
        <f>D44/C22</f>
        <v>50.159812204093853</v>
      </c>
      <c r="D44" s="59">
        <f>D38+D42+D43</f>
        <v>25649370.450000003</v>
      </c>
    </row>
    <row r="45" spans="1:5" ht="12.75">
      <c r="A45" s="24" t="s">
        <v>204</v>
      </c>
      <c r="B45" s="25" t="s">
        <v>191</v>
      </c>
      <c r="C45" s="25" t="s">
        <v>205</v>
      </c>
      <c r="D45" s="60" t="s">
        <v>193</v>
      </c>
    </row>
    <row r="46" spans="1:5" ht="13.5" thickBot="1">
      <c r="A46" s="1064" t="s">
        <v>206</v>
      </c>
      <c r="B46" s="62">
        <f>D46/B22</f>
        <v>-16037.915827338131</v>
      </c>
      <c r="C46" s="62">
        <f>D46/C22</f>
        <v>-17.438210394776213</v>
      </c>
      <c r="D46" s="1065">
        <f>-0.4*D38</f>
        <v>-8917081.2000000011</v>
      </c>
    </row>
    <row r="47" spans="1:5" ht="13.5" thickBot="1">
      <c r="A47" s="1089" t="s">
        <v>207</v>
      </c>
      <c r="B47" s="1090">
        <f>D47/B22</f>
        <v>30094.045413669068</v>
      </c>
      <c r="C47" s="1091"/>
      <c r="D47" s="1092">
        <f>D44+D46</f>
        <v>16732289.250000002</v>
      </c>
    </row>
    <row r="48" spans="1:5" ht="26.25" customHeight="1" thickBot="1">
      <c r="A48" s="1125" t="s">
        <v>208</v>
      </c>
      <c r="B48" s="63" t="s">
        <v>209</v>
      </c>
      <c r="C48" s="64">
        <v>0.05</v>
      </c>
      <c r="D48" s="325">
        <f>D47/C48</f>
        <v>334645785</v>
      </c>
    </row>
    <row r="49" spans="1:4" ht="13.5" thickBot="1">
      <c r="A49" s="1319" t="s">
        <v>210</v>
      </c>
      <c r="B49" s="1320"/>
      <c r="C49" s="1359" t="str">
        <f>'Development Program'!B30</f>
        <v>Rainier Tower Apts</v>
      </c>
      <c r="D49" s="1322"/>
    </row>
    <row r="50" spans="1:4" ht="13.5" thickBot="1">
      <c r="A50" s="968"/>
      <c r="B50" s="65" t="s">
        <v>211</v>
      </c>
      <c r="C50" s="65" t="s">
        <v>212</v>
      </c>
      <c r="D50" s="65" t="s">
        <v>191</v>
      </c>
    </row>
    <row r="51" spans="1:4" ht="12.75">
      <c r="A51" s="1191" t="s">
        <v>213</v>
      </c>
      <c r="B51" s="1168">
        <f>Assumptions!I26</f>
        <v>248</v>
      </c>
      <c r="C51" s="807">
        <f>B51*C22</f>
        <v>126815544</v>
      </c>
      <c r="D51" s="1163">
        <f>C51/$B$22</f>
        <v>228085.51079136692</v>
      </c>
    </row>
    <row r="52" spans="1:4" ht="12.75">
      <c r="A52" s="625" t="s">
        <v>292</v>
      </c>
      <c r="B52" s="795">
        <f>Assumptions!D30</f>
        <v>36000</v>
      </c>
      <c r="C52" s="807">
        <f>B27*B52</f>
        <v>24028308</v>
      </c>
      <c r="D52" s="317">
        <f t="shared" ref="D52:D71" si="2">C52/$B$22</f>
        <v>43216.381294964027</v>
      </c>
    </row>
    <row r="53" spans="1:4" ht="12.75">
      <c r="A53" s="625" t="s">
        <v>59</v>
      </c>
      <c r="B53" s="796">
        <v>0.1</v>
      </c>
      <c r="C53" s="1011">
        <f>B53*C51</f>
        <v>12681554.4</v>
      </c>
      <c r="D53" s="317">
        <f t="shared" si="2"/>
        <v>22808.551079136691</v>
      </c>
    </row>
    <row r="54" spans="1:4" ht="12.75">
      <c r="A54" s="625" t="s">
        <v>11</v>
      </c>
      <c r="B54" s="1069">
        <v>8</v>
      </c>
      <c r="C54" s="807">
        <f>B54*240000</f>
        <v>1920000</v>
      </c>
      <c r="D54" s="317">
        <f t="shared" si="2"/>
        <v>3453.2374100719426</v>
      </c>
    </row>
    <row r="55" spans="1:4" ht="12.75">
      <c r="A55" s="625" t="s">
        <v>215</v>
      </c>
      <c r="B55" s="1076" t="s">
        <v>279</v>
      </c>
      <c r="C55" s="1011">
        <v>48900000</v>
      </c>
      <c r="D55" s="317">
        <f t="shared" si="2"/>
        <v>87949.640287769784</v>
      </c>
    </row>
    <row r="56" spans="1:4" ht="12.75">
      <c r="A56" s="625" t="s">
        <v>62</v>
      </c>
      <c r="B56" s="801">
        <v>1500</v>
      </c>
      <c r="C56" s="1011">
        <f>B56*B22</f>
        <v>834000</v>
      </c>
      <c r="D56" s="317">
        <f t="shared" si="2"/>
        <v>1500</v>
      </c>
    </row>
    <row r="57" spans="1:4" ht="12.75">
      <c r="A57" s="625" t="s">
        <v>217</v>
      </c>
      <c r="B57" s="802" t="s">
        <v>218</v>
      </c>
      <c r="C57" s="1011">
        <f>'Development Program'!G20</f>
        <v>4000000</v>
      </c>
      <c r="D57" s="317">
        <f t="shared" si="2"/>
        <v>7194.2446043165464</v>
      </c>
    </row>
    <row r="58" spans="1:4" ht="12.75">
      <c r="A58" s="1192" t="s">
        <v>66</v>
      </c>
      <c r="B58" s="1077" t="s">
        <v>67</v>
      </c>
      <c r="C58" s="807">
        <v>400000</v>
      </c>
      <c r="D58" s="317">
        <f t="shared" si="2"/>
        <v>719.42446043165467</v>
      </c>
    </row>
    <row r="59" spans="1:4" ht="12.75">
      <c r="A59" s="1192" t="s">
        <v>68</v>
      </c>
      <c r="B59" s="803">
        <v>0.01</v>
      </c>
      <c r="C59" s="807">
        <f>B59*C55</f>
        <v>489000</v>
      </c>
      <c r="D59" s="317">
        <f t="shared" si="2"/>
        <v>879.49640287769785</v>
      </c>
    </row>
    <row r="60" spans="1:4" ht="12.75">
      <c r="A60" s="1192" t="s">
        <v>69</v>
      </c>
      <c r="B60" s="798">
        <v>0.03</v>
      </c>
      <c r="C60" s="807">
        <f>B60*(C51+C53)</f>
        <v>4184912.952</v>
      </c>
      <c r="D60" s="317">
        <f t="shared" si="2"/>
        <v>7526.8218561151079</v>
      </c>
    </row>
    <row r="61" spans="1:4" ht="12.75">
      <c r="A61" s="1192" t="s">
        <v>71</v>
      </c>
      <c r="B61" s="804">
        <v>0.03</v>
      </c>
      <c r="C61" s="807">
        <f>B61*SUM(C51:C60)</f>
        <v>6727599.5805599997</v>
      </c>
      <c r="D61" s="317">
        <f t="shared" si="2"/>
        <v>12099.999245611511</v>
      </c>
    </row>
    <row r="62" spans="1:4" ht="12.75">
      <c r="A62" s="1192" t="s">
        <v>73</v>
      </c>
      <c r="B62" s="798">
        <v>0.02</v>
      </c>
      <c r="C62" s="807">
        <f>B62*(C51+C53)</f>
        <v>2789941.9680000003</v>
      </c>
      <c r="D62" s="317">
        <f t="shared" si="2"/>
        <v>5017.8812374100726</v>
      </c>
    </row>
    <row r="63" spans="1:4" ht="12.75">
      <c r="A63" s="1192" t="s">
        <v>219</v>
      </c>
      <c r="B63" s="798" t="s">
        <v>444</v>
      </c>
      <c r="C63" s="807">
        <f>0.00883*C55*2</f>
        <v>863573.99999999988</v>
      </c>
      <c r="D63" s="317">
        <f t="shared" si="2"/>
        <v>1553.1906474820141</v>
      </c>
    </row>
    <row r="64" spans="1:4" ht="12.75">
      <c r="A64" s="1192" t="s">
        <v>77</v>
      </c>
      <c r="B64" s="1069">
        <v>1</v>
      </c>
      <c r="C64" s="807">
        <f>B64*C22</f>
        <v>511353</v>
      </c>
      <c r="D64" s="317">
        <f t="shared" si="2"/>
        <v>919.69964028776974</v>
      </c>
    </row>
    <row r="65" spans="1:7" ht="12.75">
      <c r="A65" s="1192" t="s">
        <v>79</v>
      </c>
      <c r="B65" s="1069">
        <v>1</v>
      </c>
      <c r="C65" s="807">
        <f>B65*C22</f>
        <v>511353</v>
      </c>
      <c r="D65" s="317">
        <f t="shared" si="2"/>
        <v>919.69964028776974</v>
      </c>
    </row>
    <row r="66" spans="1:7" ht="12.75">
      <c r="A66" s="1192" t="s">
        <v>296</v>
      </c>
      <c r="B66" s="799" t="s">
        <v>443</v>
      </c>
      <c r="C66" s="807">
        <v>1755484</v>
      </c>
      <c r="D66" s="317">
        <f t="shared" si="2"/>
        <v>3157.3453237410072</v>
      </c>
      <c r="E66" s="74"/>
    </row>
    <row r="67" spans="1:7" ht="12.75">
      <c r="A67" s="1192" t="s">
        <v>220</v>
      </c>
      <c r="B67" s="800">
        <v>75</v>
      </c>
      <c r="C67" s="807">
        <f>B67*B21</f>
        <v>8358975</v>
      </c>
      <c r="D67" s="317">
        <f t="shared" si="2"/>
        <v>15034.127697841726</v>
      </c>
    </row>
    <row r="68" spans="1:7" ht="12.75">
      <c r="A68" s="1192" t="s">
        <v>221</v>
      </c>
      <c r="B68" s="805">
        <v>0.06</v>
      </c>
      <c r="C68" s="807">
        <f>B68*5*D37</f>
        <v>1170256.5</v>
      </c>
      <c r="D68" s="317">
        <f t="shared" si="2"/>
        <v>2104.7778776978416</v>
      </c>
    </row>
    <row r="69" spans="1:7" ht="12.75">
      <c r="A69" s="1192" t="s">
        <v>83</v>
      </c>
      <c r="B69" s="806">
        <v>1.4999999999999999E-2</v>
      </c>
      <c r="C69" s="807">
        <v>2504730</v>
      </c>
      <c r="D69" s="317">
        <f t="shared" si="2"/>
        <v>4504.9100719424459</v>
      </c>
      <c r="E69" s="1264" t="s">
        <v>280</v>
      </c>
      <c r="F69" s="1265"/>
      <c r="G69" s="70">
        <f>B69*B82</f>
        <v>2370531.1463467199</v>
      </c>
    </row>
    <row r="70" spans="1:7" ht="12.75">
      <c r="A70" s="1193" t="s">
        <v>84</v>
      </c>
      <c r="B70" s="1074">
        <v>7.0000000000000007E-2</v>
      </c>
      <c r="C70" s="807">
        <v>11703230</v>
      </c>
      <c r="D70" s="317">
        <f t="shared" si="2"/>
        <v>21048.974820143885</v>
      </c>
      <c r="E70" s="1264" t="s">
        <v>280</v>
      </c>
      <c r="F70" s="1265"/>
      <c r="G70" s="71">
        <f>B70*B82</f>
        <v>11062478.682951361</v>
      </c>
    </row>
    <row r="71" spans="1:7" ht="13.5" thickBot="1">
      <c r="A71" s="1195" t="s">
        <v>223</v>
      </c>
      <c r="B71" s="1075" t="s">
        <v>442</v>
      </c>
      <c r="C71" s="807">
        <f>C61/3</f>
        <v>2242533.1935199997</v>
      </c>
      <c r="D71" s="317">
        <f t="shared" si="2"/>
        <v>4033.3330818705031</v>
      </c>
    </row>
    <row r="72" spans="1:7" ht="15" customHeight="1" thickTop="1" thickBot="1">
      <c r="A72" s="337" t="s">
        <v>224</v>
      </c>
      <c r="B72" s="338"/>
      <c r="C72" s="72">
        <f>SUM(C51:C71)</f>
        <v>263392349.59408</v>
      </c>
      <c r="D72" s="72">
        <f>ROUND(C72/B9,-3)</f>
        <v>558000</v>
      </c>
    </row>
    <row r="73" spans="1:7" ht="12.75">
      <c r="A73" s="339" t="s">
        <v>225</v>
      </c>
      <c r="B73" s="340">
        <f>D47/C72</f>
        <v>6.3526101937989146E-2</v>
      </c>
    </row>
    <row r="74" spans="1:7" ht="12.75">
      <c r="A74" s="341" t="s">
        <v>226</v>
      </c>
      <c r="B74" s="342">
        <f>(D48/C72)-1</f>
        <v>0.27052203875978287</v>
      </c>
      <c r="C74" s="73"/>
      <c r="D74" s="74"/>
    </row>
    <row r="75" spans="1:7" ht="13.5" thickBot="1">
      <c r="A75" s="343">
        <v>0.3</v>
      </c>
      <c r="B75" s="344">
        <f>(D48/(1+A75))</f>
        <v>257419834.61538461</v>
      </c>
    </row>
    <row r="76" spans="1:7" ht="13.5" thickBot="1">
      <c r="A76" s="446">
        <v>0.3</v>
      </c>
      <c r="B76" s="344">
        <f>ROUND((D48/(1+A76))-C72,-3)</f>
        <v>-5973000</v>
      </c>
      <c r="C76" s="75" t="s">
        <v>227</v>
      </c>
      <c r="E76" s="85"/>
    </row>
    <row r="77" spans="1:7" ht="12.75">
      <c r="A77" s="76"/>
      <c r="B77" s="77"/>
    </row>
    <row r="78" spans="1:7" ht="12.75">
      <c r="A78" s="1360" t="s">
        <v>228</v>
      </c>
      <c r="B78" s="1361"/>
      <c r="C78" s="483" t="str">
        <f>D1</f>
        <v>Rainier Tower Apts</v>
      </c>
    </row>
    <row r="79" spans="1:7" ht="12.75">
      <c r="A79" s="484"/>
      <c r="B79" s="257" t="s">
        <v>229</v>
      </c>
      <c r="C79" s="257" t="s">
        <v>191</v>
      </c>
    </row>
    <row r="80" spans="1:7" ht="12.75">
      <c r="A80" s="485" t="s">
        <v>230</v>
      </c>
      <c r="B80" s="288">
        <f>IF(B76&lt;0,B76,0)</f>
        <v>-5973000</v>
      </c>
      <c r="C80" s="288">
        <f>B80/B9</f>
        <v>-12654.661016949152</v>
      </c>
    </row>
    <row r="81" spans="1:4" ht="12.75">
      <c r="A81" s="485" t="s">
        <v>231</v>
      </c>
      <c r="B81" s="783">
        <f>C72+B80</f>
        <v>257419349.59408</v>
      </c>
      <c r="C81" s="783">
        <f>B81/B9</f>
        <v>545379.97795355937</v>
      </c>
    </row>
    <row r="82" spans="1:4" ht="12.75">
      <c r="A82" s="486">
        <f>Assumptions!K16</f>
        <v>0.6</v>
      </c>
      <c r="B82" s="784">
        <f>A82*C72</f>
        <v>158035409.756448</v>
      </c>
      <c r="C82" s="784">
        <f>B82/B9</f>
        <v>334820.78338230506</v>
      </c>
    </row>
    <row r="83" spans="1:4" ht="12.75">
      <c r="A83" s="487">
        <f>1-A82</f>
        <v>0.4</v>
      </c>
      <c r="B83" s="784">
        <f>A83*C72</f>
        <v>105356939.837632</v>
      </c>
      <c r="C83" s="784">
        <f>B83/B9</f>
        <v>223213.85558820338</v>
      </c>
      <c r="D83" s="74"/>
    </row>
    <row r="84" spans="1:4" ht="12.75">
      <c r="A84" s="488" t="s">
        <v>232</v>
      </c>
      <c r="B84" s="785">
        <f>B82+B83</f>
        <v>263392349.59408</v>
      </c>
      <c r="C84" s="785">
        <f>ROUND((C83+C82),-3)</f>
        <v>558000</v>
      </c>
    </row>
    <row r="85" spans="1:4" ht="13.5" thickBot="1">
      <c r="A85" s="354"/>
      <c r="B85" s="212"/>
      <c r="C85" s="212"/>
    </row>
    <row r="86" spans="1:4" ht="13.5" thickBot="1">
      <c r="A86" s="1292" t="s">
        <v>233</v>
      </c>
      <c r="B86" s="1293"/>
      <c r="C86" s="346" t="str">
        <f>D1</f>
        <v>Rainier Tower Apts</v>
      </c>
    </row>
    <row r="87" spans="1:4" ht="13.5" thickBot="1">
      <c r="A87" s="83"/>
      <c r="B87" s="356" t="s">
        <v>234</v>
      </c>
      <c r="C87" s="356"/>
    </row>
    <row r="88" spans="1:4" ht="12.75">
      <c r="A88" s="357" t="s">
        <v>235</v>
      </c>
      <c r="B88" s="358">
        <f>ROUND(D48,-2)</f>
        <v>334645800</v>
      </c>
      <c r="C88" s="359"/>
    </row>
    <row r="89" spans="1:4" ht="13.5" thickBot="1">
      <c r="A89" s="451">
        <v>0.02</v>
      </c>
      <c r="B89" s="361">
        <f>(-ROUND(A89*B88,-2))</f>
        <v>-6692900</v>
      </c>
      <c r="C89" s="362"/>
    </row>
    <row r="90" spans="1:4" ht="14.25" thickTop="1" thickBot="1">
      <c r="A90" s="363" t="s">
        <v>236</v>
      </c>
      <c r="B90" s="236">
        <f>B88+B89</f>
        <v>327952900</v>
      </c>
      <c r="C90" s="84"/>
    </row>
    <row r="91" spans="1:4" ht="12.75">
      <c r="A91" s="357" t="s">
        <v>237</v>
      </c>
      <c r="B91" s="358">
        <f>-B82</f>
        <v>-158035409.756448</v>
      </c>
      <c r="C91" s="359"/>
    </row>
    <row r="92" spans="1:4" ht="13.5" thickBot="1">
      <c r="A92" s="364" t="s">
        <v>238</v>
      </c>
      <c r="B92" s="365">
        <f>-B83</f>
        <v>-105356939.837632</v>
      </c>
      <c r="C92" s="362"/>
    </row>
    <row r="93" spans="1:4" ht="14.25" thickTop="1" thickBot="1">
      <c r="A93" s="135" t="s">
        <v>239</v>
      </c>
      <c r="B93" s="237">
        <f>ROUND(B90+B91+B92,-2)</f>
        <v>64560600</v>
      </c>
      <c r="C93" s="86"/>
      <c r="D93" s="87"/>
    </row>
    <row r="94" spans="1:4" ht="13.5" thickBot="1">
      <c r="A94" s="1277" t="s">
        <v>240</v>
      </c>
      <c r="B94" s="1278"/>
      <c r="C94" s="1279"/>
    </row>
    <row r="95" spans="1:4" ht="12.75">
      <c r="A95" s="366" t="s">
        <v>241</v>
      </c>
      <c r="B95" s="367">
        <f>ROUND((B88)/B22,-2)</f>
        <v>601900</v>
      </c>
      <c r="C95" s="367"/>
    </row>
    <row r="96" spans="1:4" ht="13.5" thickBot="1">
      <c r="A96" s="368" t="s">
        <v>242</v>
      </c>
      <c r="B96" s="369">
        <f>B90/B22</f>
        <v>589843.34532374097</v>
      </c>
      <c r="C96" s="369"/>
    </row>
    <row r="97" spans="1:4" ht="13.5" thickBot="1">
      <c r="A97" s="1280" t="s">
        <v>243</v>
      </c>
      <c r="B97" s="1281"/>
      <c r="C97" s="1282"/>
    </row>
    <row r="98" spans="1:4" ht="12.75">
      <c r="A98" s="89"/>
      <c r="B98" s="356" t="s">
        <v>234</v>
      </c>
      <c r="C98" s="356"/>
    </row>
    <row r="99" spans="1:4" ht="12.75">
      <c r="A99" s="370" t="s">
        <v>244</v>
      </c>
      <c r="B99" s="371">
        <f>(B93+B83)/B83</f>
        <v>1.6127797570762383</v>
      </c>
      <c r="C99" s="371"/>
    </row>
    <row r="100" spans="1:4" ht="12.75">
      <c r="A100" s="370" t="s">
        <v>474</v>
      </c>
      <c r="B100" s="986">
        <f>'Rainier Tower Draw'!B44</f>
        <v>0.12133370289231515</v>
      </c>
      <c r="C100" s="371"/>
    </row>
    <row r="101" spans="1:4" ht="12.75">
      <c r="A101" s="370" t="s">
        <v>245</v>
      </c>
      <c r="B101" s="986">
        <f>'Rainier Tower Draw'!B39</f>
        <v>0.17528214824556487</v>
      </c>
      <c r="C101" s="165"/>
      <c r="D101" s="90"/>
    </row>
    <row r="102" spans="1:4" ht="12.75">
      <c r="A102" s="370" t="s">
        <v>247</v>
      </c>
      <c r="B102" s="373">
        <f>D47/B81</f>
        <v>6.5000122470920893E-2</v>
      </c>
      <c r="C102" s="373"/>
    </row>
    <row r="103" spans="1:4" ht="12.75">
      <c r="A103" s="370" t="s">
        <v>248</v>
      </c>
      <c r="B103" s="374">
        <f>C48</f>
        <v>0.05</v>
      </c>
      <c r="C103" s="374"/>
    </row>
    <row r="116" spans="1:4" ht="23.25" customHeight="1">
      <c r="A116" s="166"/>
      <c r="B116" s="166"/>
      <c r="C116" s="166"/>
      <c r="D116" s="46"/>
    </row>
  </sheetData>
  <mergeCells count="16">
    <mergeCell ref="B38:C38"/>
    <mergeCell ref="B42:C42"/>
    <mergeCell ref="B43:C43"/>
    <mergeCell ref="A49:B49"/>
    <mergeCell ref="C49:D49"/>
    <mergeCell ref="A1:C1"/>
    <mergeCell ref="D1:E1"/>
    <mergeCell ref="A34:B34"/>
    <mergeCell ref="C34:D34"/>
    <mergeCell ref="B37:C37"/>
    <mergeCell ref="A86:B86"/>
    <mergeCell ref="A94:C94"/>
    <mergeCell ref="A97:C97"/>
    <mergeCell ref="A78:B78"/>
    <mergeCell ref="E69:F69"/>
    <mergeCell ref="E70:F70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1" manualBreakCount="1">
    <brk id="76" max="8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FF04-8D76-415D-A91C-AFC9561002AF}">
  <sheetPr>
    <tabColor rgb="FF0070C0"/>
  </sheetPr>
  <dimension ref="A1:AV599"/>
  <sheetViews>
    <sheetView zoomScaleNormal="100" zoomScalePageLayoutView="125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37" sqref="C37"/>
    </sheetView>
  </sheetViews>
  <sheetFormatPr defaultColWidth="8.85546875" defaultRowHeight="15"/>
  <cols>
    <col min="1" max="1" width="45.5703125" style="21" customWidth="1"/>
    <col min="2" max="2" width="21.42578125" style="21" customWidth="1"/>
    <col min="3" max="3" width="18.5703125" style="21" customWidth="1"/>
    <col min="4" max="4" width="15" style="21" customWidth="1"/>
    <col min="5" max="5" width="15.42578125" style="21" customWidth="1"/>
    <col min="6" max="6" width="18.140625" style="21" customWidth="1"/>
    <col min="7" max="7" width="14.42578125" style="139" customWidth="1"/>
    <col min="8" max="8" width="19" style="21" customWidth="1"/>
    <col min="9" max="9" width="17.85546875" style="21" customWidth="1"/>
    <col min="10" max="10" width="16.42578125" style="21" customWidth="1"/>
    <col min="11" max="11" width="12.42578125" style="21" customWidth="1"/>
    <col min="12" max="12" width="14.140625" style="21" customWidth="1"/>
    <col min="13" max="13" width="14.42578125" style="21" customWidth="1"/>
    <col min="14" max="14" width="15.42578125" style="21" customWidth="1"/>
    <col min="15" max="15" width="16.140625" style="21" customWidth="1"/>
    <col min="16" max="16" width="15.42578125" style="21" customWidth="1"/>
    <col min="17" max="17" width="16" style="21" customWidth="1"/>
    <col min="18" max="18" width="14" style="21" customWidth="1"/>
    <col min="19" max="19" width="12.7109375" style="21" bestFit="1" customWidth="1"/>
    <col min="20" max="20" width="17.85546875" style="21" bestFit="1" customWidth="1"/>
    <col min="21" max="22" width="17" style="21" customWidth="1"/>
    <col min="23" max="45" width="17" customWidth="1"/>
    <col min="46" max="46" width="16.5703125" customWidth="1"/>
    <col min="47" max="47" width="15" style="21" customWidth="1"/>
    <col min="48" max="48" width="17.85546875" style="21" bestFit="1" customWidth="1"/>
    <col min="49" max="49" width="9.5703125" style="21" bestFit="1" customWidth="1"/>
    <col min="50" max="50" width="11.85546875" style="21" bestFit="1" customWidth="1"/>
    <col min="51" max="52" width="9.5703125" style="21" bestFit="1" customWidth="1"/>
    <col min="53" max="16384" width="8.85546875" style="21"/>
  </cols>
  <sheetData>
    <row r="1" spans="1:48" ht="15.75" thickBot="1">
      <c r="A1" s="1283" t="str">
        <f>'Development Program'!B30</f>
        <v>Rainier Tower Apts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U1"/>
      <c r="AV1"/>
    </row>
    <row r="2" spans="1:48" ht="15.75" thickBot="1">
      <c r="A2" s="1283"/>
      <c r="B2" s="375" t="s">
        <v>250</v>
      </c>
      <c r="C2" s="377" t="str">
        <f>'Development Program'!D30</f>
        <v>01/1/31 to 12/31/31</v>
      </c>
      <c r="D2" s="377" t="str">
        <f>'Development Program'!E30</f>
        <v>1/1/32 to 6/30/32</v>
      </c>
      <c r="E2" s="377" t="str">
        <f>'Development Program'!F30</f>
        <v>7/1/32 to 6/30/35</v>
      </c>
      <c r="F2" s="489" t="str">
        <f>'Development Program'!G30</f>
        <v>7/1/35 to 12/31/35</v>
      </c>
      <c r="G2" s="21"/>
      <c r="H2" s="244" t="s">
        <v>251</v>
      </c>
      <c r="I2" s="244" t="s">
        <v>252</v>
      </c>
      <c r="T2" s="1285"/>
      <c r="U2" s="1285"/>
      <c r="V2" s="1285"/>
      <c r="AU2"/>
      <c r="AV2"/>
    </row>
    <row r="3" spans="1:48">
      <c r="A3" s="1283"/>
      <c r="B3" s="751"/>
      <c r="C3" s="771" t="s">
        <v>459</v>
      </c>
      <c r="D3" s="771" t="s">
        <v>460</v>
      </c>
      <c r="E3" s="771" t="s">
        <v>467</v>
      </c>
      <c r="F3" s="786"/>
      <c r="G3" s="21"/>
      <c r="H3" s="753"/>
      <c r="I3" s="753"/>
      <c r="P3" s="244" t="s">
        <v>253</v>
      </c>
      <c r="Q3" s="245" t="s">
        <v>254</v>
      </c>
      <c r="R3" s="245" t="s">
        <v>255</v>
      </c>
      <c r="S3" s="242"/>
      <c r="T3" s="716"/>
      <c r="U3" s="716"/>
      <c r="V3" s="716"/>
      <c r="AU3"/>
      <c r="AV3"/>
    </row>
    <row r="4" spans="1:48" ht="15.75" thickBot="1">
      <c r="A4" s="1284"/>
      <c r="B4" s="142" t="s">
        <v>122</v>
      </c>
      <c r="C4" s="203">
        <v>48214</v>
      </c>
      <c r="D4" s="204">
        <f>EOMONTH(C4,3)</f>
        <v>48334</v>
      </c>
      <c r="E4" s="204">
        <f t="shared" ref="E4:R4" si="0">EOMONTH(D4,3)</f>
        <v>48426</v>
      </c>
      <c r="F4" s="204">
        <f t="shared" si="0"/>
        <v>48518</v>
      </c>
      <c r="G4" s="246">
        <f t="shared" si="0"/>
        <v>48610</v>
      </c>
      <c r="H4" s="246">
        <f t="shared" si="0"/>
        <v>48699</v>
      </c>
      <c r="I4" s="246">
        <f t="shared" si="0"/>
        <v>48791</v>
      </c>
      <c r="J4" s="246">
        <f t="shared" si="0"/>
        <v>48883</v>
      </c>
      <c r="K4" s="246">
        <f t="shared" si="0"/>
        <v>48975</v>
      </c>
      <c r="L4" s="246">
        <f t="shared" si="0"/>
        <v>49064</v>
      </c>
      <c r="M4" s="246">
        <f t="shared" si="0"/>
        <v>49156</v>
      </c>
      <c r="N4" s="246">
        <f t="shared" si="0"/>
        <v>49248</v>
      </c>
      <c r="O4" s="246">
        <f t="shared" si="0"/>
        <v>49340</v>
      </c>
      <c r="P4" s="246">
        <f t="shared" si="0"/>
        <v>49429</v>
      </c>
      <c r="Q4" s="246">
        <f t="shared" si="0"/>
        <v>49521</v>
      </c>
      <c r="R4" s="246">
        <f t="shared" si="0"/>
        <v>49613</v>
      </c>
      <c r="S4" s="246">
        <f>EOMONTH(R4,3)</f>
        <v>49705</v>
      </c>
      <c r="T4" s="246" t="s">
        <v>257</v>
      </c>
      <c r="U4" s="453" t="s">
        <v>258</v>
      </c>
      <c r="V4" s="378"/>
      <c r="AU4"/>
      <c r="AV4"/>
    </row>
    <row r="5" spans="1:48" ht="15.75" thickBot="1">
      <c r="A5" s="380" t="s">
        <v>259</v>
      </c>
      <c r="B5" s="381">
        <v>1</v>
      </c>
      <c r="C5" s="239">
        <v>0</v>
      </c>
      <c r="D5" s="239">
        <v>0</v>
      </c>
      <c r="E5" s="239">
        <v>0</v>
      </c>
      <c r="F5" s="239">
        <f t="shared" ref="F5:H5" si="1">E5</f>
        <v>0</v>
      </c>
      <c r="G5" s="238">
        <f t="shared" si="1"/>
        <v>0</v>
      </c>
      <c r="H5" s="238">
        <f t="shared" si="1"/>
        <v>0</v>
      </c>
      <c r="I5" s="238">
        <v>0.05</v>
      </c>
      <c r="J5" s="238">
        <v>0.05</v>
      </c>
      <c r="K5" s="238">
        <v>0.05</v>
      </c>
      <c r="L5" s="238">
        <v>0.05</v>
      </c>
      <c r="M5" s="238">
        <v>0.2</v>
      </c>
      <c r="N5" s="238">
        <v>0.2</v>
      </c>
      <c r="O5" s="238">
        <v>0.2</v>
      </c>
      <c r="P5" s="238">
        <v>0.2</v>
      </c>
      <c r="Q5" s="238"/>
      <c r="R5" s="238"/>
      <c r="S5" s="238"/>
      <c r="T5" s="382">
        <f>SUM(C5:S5)</f>
        <v>1</v>
      </c>
      <c r="U5" s="383"/>
      <c r="V5" s="216" t="s">
        <v>260</v>
      </c>
      <c r="AU5"/>
      <c r="AV5"/>
    </row>
    <row r="6" spans="1:48">
      <c r="A6" s="384" t="str">
        <f>'Rainier Tower Financial '!A51</f>
        <v>Hard Costs for Construction</v>
      </c>
      <c r="B6" s="490">
        <f>'Rainier Tower Financial '!C51</f>
        <v>126815544</v>
      </c>
      <c r="C6" s="386">
        <f>$B6*C$5</f>
        <v>0</v>
      </c>
      <c r="D6" s="386">
        <f t="shared" ref="D6:S8" si="2">$B6*D$5</f>
        <v>0</v>
      </c>
      <c r="E6" s="386">
        <f t="shared" si="2"/>
        <v>0</v>
      </c>
      <c r="F6" s="386">
        <f t="shared" si="2"/>
        <v>0</v>
      </c>
      <c r="G6" s="386">
        <f t="shared" si="2"/>
        <v>0</v>
      </c>
      <c r="H6" s="386">
        <f t="shared" si="2"/>
        <v>0</v>
      </c>
      <c r="I6" s="386">
        <f t="shared" si="2"/>
        <v>6340777.2000000002</v>
      </c>
      <c r="J6" s="386">
        <f t="shared" si="2"/>
        <v>6340777.2000000002</v>
      </c>
      <c r="K6" s="386">
        <f t="shared" si="2"/>
        <v>6340777.2000000002</v>
      </c>
      <c r="L6" s="386">
        <f t="shared" si="2"/>
        <v>6340777.2000000002</v>
      </c>
      <c r="M6" s="386">
        <f t="shared" si="2"/>
        <v>25363108.800000001</v>
      </c>
      <c r="N6" s="386">
        <f t="shared" si="2"/>
        <v>25363108.800000001</v>
      </c>
      <c r="O6" s="386">
        <f t="shared" si="2"/>
        <v>25363108.800000001</v>
      </c>
      <c r="P6" s="386">
        <f t="shared" si="2"/>
        <v>25363108.800000001</v>
      </c>
      <c r="Q6" s="386">
        <f t="shared" si="2"/>
        <v>0</v>
      </c>
      <c r="R6" s="386">
        <f t="shared" si="2"/>
        <v>0</v>
      </c>
      <c r="S6" s="386">
        <f t="shared" si="2"/>
        <v>0</v>
      </c>
      <c r="T6" s="387">
        <f>SUM(C6:S6)</f>
        <v>126815544</v>
      </c>
      <c r="U6" s="387">
        <f>B6</f>
        <v>126815544</v>
      </c>
      <c r="V6" s="387">
        <f>U6-T6</f>
        <v>0</v>
      </c>
      <c r="AU6"/>
      <c r="AV6"/>
    </row>
    <row r="7" spans="1:48">
      <c r="A7" s="384" t="str">
        <f>'Rainier Tower Financial '!A52</f>
        <v>Guest Parking</v>
      </c>
      <c r="B7" s="490">
        <f>'Rainier Tower Financial '!C52</f>
        <v>24028308</v>
      </c>
      <c r="C7" s="386">
        <f>$B7*C$5</f>
        <v>0</v>
      </c>
      <c r="D7" s="386">
        <f t="shared" si="2"/>
        <v>0</v>
      </c>
      <c r="E7" s="386">
        <f t="shared" si="2"/>
        <v>0</v>
      </c>
      <c r="F7" s="386">
        <f t="shared" si="2"/>
        <v>0</v>
      </c>
      <c r="G7" s="386">
        <f t="shared" si="2"/>
        <v>0</v>
      </c>
      <c r="H7" s="386">
        <f t="shared" si="2"/>
        <v>0</v>
      </c>
      <c r="I7" s="386">
        <f t="shared" si="2"/>
        <v>1201415.4000000001</v>
      </c>
      <c r="J7" s="386">
        <f t="shared" si="2"/>
        <v>1201415.4000000001</v>
      </c>
      <c r="K7" s="386">
        <f t="shared" si="2"/>
        <v>1201415.4000000001</v>
      </c>
      <c r="L7" s="386">
        <f t="shared" si="2"/>
        <v>1201415.4000000001</v>
      </c>
      <c r="M7" s="386">
        <f t="shared" si="2"/>
        <v>4805661.6000000006</v>
      </c>
      <c r="N7" s="386">
        <f t="shared" si="2"/>
        <v>4805661.6000000006</v>
      </c>
      <c r="O7" s="386">
        <f t="shared" si="2"/>
        <v>4805661.6000000006</v>
      </c>
      <c r="P7" s="386">
        <f t="shared" si="2"/>
        <v>4805661.6000000006</v>
      </c>
      <c r="Q7" s="386">
        <f t="shared" si="2"/>
        <v>0</v>
      </c>
      <c r="R7" s="386">
        <f t="shared" si="2"/>
        <v>0</v>
      </c>
      <c r="S7" s="386">
        <f t="shared" si="2"/>
        <v>0</v>
      </c>
      <c r="T7" s="387">
        <f>SUM(C7:S7)</f>
        <v>24028308.000000004</v>
      </c>
      <c r="U7" s="387">
        <f>B7</f>
        <v>24028308</v>
      </c>
      <c r="V7" s="387">
        <f t="shared" ref="V7:V26" si="3">U7-T7</f>
        <v>0</v>
      </c>
      <c r="AU7"/>
      <c r="AV7"/>
    </row>
    <row r="8" spans="1:48">
      <c r="A8" s="384" t="str">
        <f>'Rainier Tower Financial '!A53</f>
        <v>Hard Cost Contingency</v>
      </c>
      <c r="B8" s="490">
        <f>'Rainier Tower Financial '!C53</f>
        <v>12681554.4</v>
      </c>
      <c r="C8" s="386">
        <f>$B8*C$5</f>
        <v>0</v>
      </c>
      <c r="D8" s="386">
        <f t="shared" si="2"/>
        <v>0</v>
      </c>
      <c r="E8" s="386">
        <f t="shared" si="2"/>
        <v>0</v>
      </c>
      <c r="F8" s="386">
        <f t="shared" si="2"/>
        <v>0</v>
      </c>
      <c r="G8" s="386">
        <f t="shared" si="2"/>
        <v>0</v>
      </c>
      <c r="H8" s="386">
        <f t="shared" si="2"/>
        <v>0</v>
      </c>
      <c r="I8" s="386">
        <f t="shared" si="2"/>
        <v>634077.72000000009</v>
      </c>
      <c r="J8" s="386">
        <f t="shared" si="2"/>
        <v>634077.72000000009</v>
      </c>
      <c r="K8" s="386">
        <f t="shared" si="2"/>
        <v>634077.72000000009</v>
      </c>
      <c r="L8" s="386">
        <f t="shared" si="2"/>
        <v>634077.72000000009</v>
      </c>
      <c r="M8" s="386">
        <f t="shared" si="2"/>
        <v>2536310.8800000004</v>
      </c>
      <c r="N8" s="386">
        <f t="shared" si="2"/>
        <v>2536310.8800000004</v>
      </c>
      <c r="O8" s="386">
        <f t="shared" si="2"/>
        <v>2536310.8800000004</v>
      </c>
      <c r="P8" s="386">
        <f t="shared" si="2"/>
        <v>2536310.8800000004</v>
      </c>
      <c r="Q8" s="386">
        <f t="shared" si="2"/>
        <v>0</v>
      </c>
      <c r="R8" s="386">
        <f t="shared" si="2"/>
        <v>0</v>
      </c>
      <c r="S8" s="386">
        <f t="shared" si="2"/>
        <v>0</v>
      </c>
      <c r="T8" s="387">
        <f>SUM(C8:S8)</f>
        <v>12681554.400000002</v>
      </c>
      <c r="U8" s="387">
        <f>B8</f>
        <v>12681554.4</v>
      </c>
      <c r="V8" s="387">
        <f t="shared" si="3"/>
        <v>0</v>
      </c>
      <c r="AU8"/>
      <c r="AV8"/>
    </row>
    <row r="9" spans="1:48">
      <c r="A9" s="384" t="str">
        <f>'Rainier Tower Financial '!A54</f>
        <v>Demolition</v>
      </c>
      <c r="B9" s="490">
        <f>'Rainier Tower Financial '!C54</f>
        <v>1920000</v>
      </c>
      <c r="C9" s="386">
        <f>B9</f>
        <v>1920000</v>
      </c>
      <c r="D9" s="388">
        <v>0</v>
      </c>
      <c r="E9" s="391">
        <v>0</v>
      </c>
      <c r="F9" s="386">
        <f t="shared" ref="F9:R12" si="4">$B9*F$5</f>
        <v>0</v>
      </c>
      <c r="G9" s="386">
        <f t="shared" si="4"/>
        <v>0</v>
      </c>
      <c r="H9" s="386">
        <f t="shared" si="4"/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6">
        <v>0</v>
      </c>
      <c r="Q9" s="386">
        <f t="shared" si="4"/>
        <v>0</v>
      </c>
      <c r="R9" s="386">
        <f t="shared" si="4"/>
        <v>0</v>
      </c>
      <c r="S9" s="386">
        <f t="shared" ref="S9:S12" si="5">$B9*S$5</f>
        <v>0</v>
      </c>
      <c r="T9" s="387"/>
      <c r="U9" s="387"/>
      <c r="V9" s="387">
        <f t="shared" si="3"/>
        <v>0</v>
      </c>
      <c r="AU9"/>
      <c r="AV9"/>
    </row>
    <row r="10" spans="1:48">
      <c r="A10" s="384" t="str">
        <f>'Rainier Tower Financial '!A55</f>
        <v>LAND</v>
      </c>
      <c r="B10" s="387">
        <f>'Rainier Tower Financial '!C55</f>
        <v>48900000</v>
      </c>
      <c r="C10" s="386">
        <f>B10</f>
        <v>48900000</v>
      </c>
      <c r="D10" s="388">
        <v>0</v>
      </c>
      <c r="E10" s="391">
        <v>0</v>
      </c>
      <c r="F10" s="386">
        <f t="shared" si="4"/>
        <v>0</v>
      </c>
      <c r="G10" s="386">
        <f t="shared" si="4"/>
        <v>0</v>
      </c>
      <c r="H10" s="386">
        <f t="shared" si="4"/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f t="shared" si="4"/>
        <v>0</v>
      </c>
      <c r="R10" s="386">
        <f t="shared" si="4"/>
        <v>0</v>
      </c>
      <c r="S10" s="386">
        <f t="shared" si="5"/>
        <v>0</v>
      </c>
      <c r="T10" s="387">
        <f>SUM(D10:S10)</f>
        <v>0</v>
      </c>
      <c r="U10" s="387">
        <f t="shared" ref="U10:U26" si="6">B10</f>
        <v>48900000</v>
      </c>
      <c r="V10" s="387">
        <f t="shared" si="3"/>
        <v>48900000</v>
      </c>
      <c r="AU10"/>
      <c r="AV10"/>
    </row>
    <row r="11" spans="1:48">
      <c r="A11" s="384" t="str">
        <f>'Rainier Tower Financial '!A56</f>
        <v>Municipal Fees and Allowances</v>
      </c>
      <c r="B11" s="490">
        <f>'Rainier Tower Financial '!C56</f>
        <v>834000</v>
      </c>
      <c r="C11" s="386">
        <f>$B11*C$5</f>
        <v>0</v>
      </c>
      <c r="D11" s="386">
        <f t="shared" ref="D11:S11" si="7">$B11*D$5</f>
        <v>0</v>
      </c>
      <c r="E11" s="386">
        <f t="shared" si="7"/>
        <v>0</v>
      </c>
      <c r="F11" s="386">
        <f t="shared" si="7"/>
        <v>0</v>
      </c>
      <c r="G11" s="386">
        <f t="shared" si="7"/>
        <v>0</v>
      </c>
      <c r="H11" s="386">
        <f t="shared" si="7"/>
        <v>0</v>
      </c>
      <c r="I11" s="386">
        <f t="shared" si="7"/>
        <v>41700</v>
      </c>
      <c r="J11" s="386">
        <f t="shared" si="7"/>
        <v>41700</v>
      </c>
      <c r="K11" s="386">
        <f t="shared" si="7"/>
        <v>41700</v>
      </c>
      <c r="L11" s="386">
        <f t="shared" si="7"/>
        <v>41700</v>
      </c>
      <c r="M11" s="386">
        <f t="shared" si="7"/>
        <v>166800</v>
      </c>
      <c r="N11" s="386">
        <f t="shared" si="7"/>
        <v>166800</v>
      </c>
      <c r="O11" s="386">
        <f t="shared" si="7"/>
        <v>166800</v>
      </c>
      <c r="P11" s="386">
        <f t="shared" si="7"/>
        <v>166800</v>
      </c>
      <c r="Q11" s="386">
        <f t="shared" si="7"/>
        <v>0</v>
      </c>
      <c r="R11" s="386">
        <f t="shared" si="7"/>
        <v>0</v>
      </c>
      <c r="S11" s="386">
        <f t="shared" si="7"/>
        <v>0</v>
      </c>
      <c r="T11" s="387">
        <f t="shared" ref="T11:T26" si="8">SUM(C11:S11)</f>
        <v>834000</v>
      </c>
      <c r="U11" s="387">
        <f t="shared" si="6"/>
        <v>834000</v>
      </c>
      <c r="V11" s="387">
        <f t="shared" si="3"/>
        <v>0</v>
      </c>
      <c r="AU11"/>
      <c r="AV11"/>
    </row>
    <row r="12" spans="1:48">
      <c r="A12" s="384" t="str">
        <f>'Rainier Tower Financial '!A57</f>
        <v>Infrastructure allocation</v>
      </c>
      <c r="B12" s="490">
        <f>'Rainier Tower Financial '!C57</f>
        <v>4000000</v>
      </c>
      <c r="C12" s="391">
        <f>B12</f>
        <v>4000000</v>
      </c>
      <c r="D12" s="388">
        <v>0</v>
      </c>
      <c r="E12" s="391">
        <v>0</v>
      </c>
      <c r="F12" s="386">
        <f t="shared" si="4"/>
        <v>0</v>
      </c>
      <c r="G12" s="386">
        <f t="shared" si="4"/>
        <v>0</v>
      </c>
      <c r="H12" s="386">
        <f t="shared" si="4"/>
        <v>0</v>
      </c>
      <c r="I12" s="386">
        <v>0</v>
      </c>
      <c r="J12" s="386">
        <v>0</v>
      </c>
      <c r="K12" s="386">
        <v>0</v>
      </c>
      <c r="L12" s="386">
        <v>0</v>
      </c>
      <c r="M12" s="386">
        <v>0</v>
      </c>
      <c r="N12" s="386">
        <v>0</v>
      </c>
      <c r="O12" s="386">
        <v>0</v>
      </c>
      <c r="P12" s="386">
        <v>0</v>
      </c>
      <c r="Q12" s="386">
        <f t="shared" si="4"/>
        <v>0</v>
      </c>
      <c r="R12" s="386">
        <f t="shared" si="4"/>
        <v>0</v>
      </c>
      <c r="S12" s="386">
        <f t="shared" si="5"/>
        <v>0</v>
      </c>
      <c r="T12" s="387">
        <f t="shared" si="8"/>
        <v>4000000</v>
      </c>
      <c r="U12" s="387">
        <f t="shared" si="6"/>
        <v>4000000</v>
      </c>
      <c r="V12" s="387">
        <f t="shared" si="3"/>
        <v>0</v>
      </c>
      <c r="AU12"/>
      <c r="AV12"/>
    </row>
    <row r="13" spans="1:48">
      <c r="A13" s="384" t="str">
        <f>'Rainier Tower Financial '!A58</f>
        <v>Legal</v>
      </c>
      <c r="B13" s="490">
        <f>'Rainier Tower Financial '!C58</f>
        <v>400000</v>
      </c>
      <c r="C13" s="386">
        <f t="shared" ref="C13:C22" si="9">$B13*C$5</f>
        <v>0</v>
      </c>
      <c r="D13" s="386">
        <f t="shared" ref="D13:S24" si="10">$B13*D$5</f>
        <v>0</v>
      </c>
      <c r="E13" s="386">
        <f t="shared" si="10"/>
        <v>0</v>
      </c>
      <c r="F13" s="386">
        <f t="shared" si="10"/>
        <v>0</v>
      </c>
      <c r="G13" s="386">
        <f t="shared" si="10"/>
        <v>0</v>
      </c>
      <c r="H13" s="386">
        <f t="shared" si="10"/>
        <v>0</v>
      </c>
      <c r="I13" s="386">
        <f t="shared" si="10"/>
        <v>20000</v>
      </c>
      <c r="J13" s="386">
        <f t="shared" si="10"/>
        <v>20000</v>
      </c>
      <c r="K13" s="386">
        <f t="shared" si="10"/>
        <v>20000</v>
      </c>
      <c r="L13" s="386">
        <f t="shared" si="10"/>
        <v>20000</v>
      </c>
      <c r="M13" s="386">
        <f t="shared" si="10"/>
        <v>80000</v>
      </c>
      <c r="N13" s="386">
        <f t="shared" si="10"/>
        <v>80000</v>
      </c>
      <c r="O13" s="386">
        <f t="shared" si="10"/>
        <v>80000</v>
      </c>
      <c r="P13" s="386">
        <f t="shared" si="10"/>
        <v>80000</v>
      </c>
      <c r="Q13" s="386">
        <f t="shared" si="10"/>
        <v>0</v>
      </c>
      <c r="R13" s="386">
        <f t="shared" si="10"/>
        <v>0</v>
      </c>
      <c r="S13" s="386">
        <f t="shared" si="10"/>
        <v>0</v>
      </c>
      <c r="T13" s="387">
        <f t="shared" si="8"/>
        <v>400000</v>
      </c>
      <c r="U13" s="387">
        <f t="shared" si="6"/>
        <v>400000</v>
      </c>
      <c r="V13" s="387">
        <f t="shared" si="3"/>
        <v>0</v>
      </c>
      <c r="AU13"/>
      <c r="AV13"/>
    </row>
    <row r="14" spans="1:48">
      <c r="A14" s="384" t="str">
        <f>'Rainier Tower Financial '!A59</f>
        <v>Land Closing Costs/commissions</v>
      </c>
      <c r="B14" s="490">
        <f>'Rainier Tower Financial '!C59</f>
        <v>489000</v>
      </c>
      <c r="C14" s="386">
        <f t="shared" si="9"/>
        <v>0</v>
      </c>
      <c r="D14" s="386">
        <f t="shared" si="10"/>
        <v>0</v>
      </c>
      <c r="E14" s="386">
        <f t="shared" si="10"/>
        <v>0</v>
      </c>
      <c r="F14" s="386">
        <f t="shared" si="10"/>
        <v>0</v>
      </c>
      <c r="G14" s="386">
        <f t="shared" si="10"/>
        <v>0</v>
      </c>
      <c r="H14" s="386">
        <f t="shared" si="10"/>
        <v>0</v>
      </c>
      <c r="I14" s="386">
        <f t="shared" si="10"/>
        <v>24450</v>
      </c>
      <c r="J14" s="386">
        <f t="shared" si="10"/>
        <v>24450</v>
      </c>
      <c r="K14" s="386">
        <f t="shared" si="10"/>
        <v>24450</v>
      </c>
      <c r="L14" s="386">
        <f t="shared" si="10"/>
        <v>24450</v>
      </c>
      <c r="M14" s="386">
        <f t="shared" si="10"/>
        <v>97800</v>
      </c>
      <c r="N14" s="386">
        <f t="shared" si="10"/>
        <v>97800</v>
      </c>
      <c r="O14" s="386">
        <f t="shared" si="10"/>
        <v>97800</v>
      </c>
      <c r="P14" s="386">
        <f t="shared" si="10"/>
        <v>97800</v>
      </c>
      <c r="Q14" s="386">
        <f t="shared" si="10"/>
        <v>0</v>
      </c>
      <c r="R14" s="386">
        <f t="shared" si="10"/>
        <v>0</v>
      </c>
      <c r="S14" s="386">
        <f t="shared" si="10"/>
        <v>0</v>
      </c>
      <c r="T14" s="387">
        <f t="shared" si="8"/>
        <v>489000</v>
      </c>
      <c r="U14" s="387">
        <f t="shared" si="6"/>
        <v>489000</v>
      </c>
      <c r="V14" s="387">
        <f t="shared" si="3"/>
        <v>0</v>
      </c>
      <c r="AU14"/>
      <c r="AV14"/>
    </row>
    <row r="15" spans="1:48">
      <c r="A15" s="384" t="str">
        <f>'Rainier Tower Financial '!A60</f>
        <v xml:space="preserve">Design </v>
      </c>
      <c r="B15" s="490">
        <f>'Rainier Tower Financial '!C60</f>
        <v>4184912.952</v>
      </c>
      <c r="C15" s="386">
        <f t="shared" si="9"/>
        <v>0</v>
      </c>
      <c r="D15" s="386">
        <f t="shared" si="10"/>
        <v>0</v>
      </c>
      <c r="E15" s="386">
        <f t="shared" si="10"/>
        <v>0</v>
      </c>
      <c r="F15" s="386">
        <f t="shared" si="10"/>
        <v>0</v>
      </c>
      <c r="G15" s="386">
        <f t="shared" si="10"/>
        <v>0</v>
      </c>
      <c r="H15" s="386">
        <f t="shared" si="10"/>
        <v>0</v>
      </c>
      <c r="I15" s="386">
        <f t="shared" si="10"/>
        <v>209245.64760000003</v>
      </c>
      <c r="J15" s="386">
        <f t="shared" si="10"/>
        <v>209245.64760000003</v>
      </c>
      <c r="K15" s="386">
        <f t="shared" si="10"/>
        <v>209245.64760000003</v>
      </c>
      <c r="L15" s="386">
        <f t="shared" si="10"/>
        <v>209245.64760000003</v>
      </c>
      <c r="M15" s="386">
        <f t="shared" si="10"/>
        <v>836982.5904000001</v>
      </c>
      <c r="N15" s="386">
        <f t="shared" si="10"/>
        <v>836982.5904000001</v>
      </c>
      <c r="O15" s="386">
        <f t="shared" si="10"/>
        <v>836982.5904000001</v>
      </c>
      <c r="P15" s="386">
        <f t="shared" si="10"/>
        <v>836982.5904000001</v>
      </c>
      <c r="Q15" s="386">
        <f t="shared" si="10"/>
        <v>0</v>
      </c>
      <c r="R15" s="386">
        <f t="shared" si="10"/>
        <v>0</v>
      </c>
      <c r="S15" s="386">
        <f t="shared" si="10"/>
        <v>0</v>
      </c>
      <c r="T15" s="387">
        <f t="shared" si="8"/>
        <v>4184912.9520000005</v>
      </c>
      <c r="U15" s="387">
        <f t="shared" si="6"/>
        <v>4184912.952</v>
      </c>
      <c r="V15" s="387">
        <f t="shared" si="3"/>
        <v>0</v>
      </c>
      <c r="AU15"/>
      <c r="AV15"/>
    </row>
    <row r="16" spans="1:48">
      <c r="A16" s="384" t="str">
        <f>'Rainier Tower Financial '!A61</f>
        <v>Developer Fee</v>
      </c>
      <c r="B16" s="490">
        <f>'Rainier Tower Financial '!C61</f>
        <v>6727599.5805599997</v>
      </c>
      <c r="C16" s="386">
        <f t="shared" si="9"/>
        <v>0</v>
      </c>
      <c r="D16" s="386">
        <f t="shared" si="10"/>
        <v>0</v>
      </c>
      <c r="E16" s="386">
        <f t="shared" si="10"/>
        <v>0</v>
      </c>
      <c r="F16" s="386">
        <f t="shared" si="10"/>
        <v>0</v>
      </c>
      <c r="G16" s="386">
        <f t="shared" si="10"/>
        <v>0</v>
      </c>
      <c r="H16" s="386">
        <f t="shared" si="10"/>
        <v>0</v>
      </c>
      <c r="I16" s="386">
        <f t="shared" si="10"/>
        <v>336379.97902800003</v>
      </c>
      <c r="J16" s="386">
        <f t="shared" si="10"/>
        <v>336379.97902800003</v>
      </c>
      <c r="K16" s="386">
        <f t="shared" si="10"/>
        <v>336379.97902800003</v>
      </c>
      <c r="L16" s="386">
        <f t="shared" si="10"/>
        <v>336379.97902800003</v>
      </c>
      <c r="M16" s="386">
        <f t="shared" si="10"/>
        <v>1345519.9161120001</v>
      </c>
      <c r="N16" s="386">
        <f t="shared" si="10"/>
        <v>1345519.9161120001</v>
      </c>
      <c r="O16" s="386">
        <f t="shared" si="10"/>
        <v>1345519.9161120001</v>
      </c>
      <c r="P16" s="386">
        <f t="shared" si="10"/>
        <v>1345519.9161120001</v>
      </c>
      <c r="Q16" s="386">
        <f t="shared" si="10"/>
        <v>0</v>
      </c>
      <c r="R16" s="386">
        <f t="shared" si="10"/>
        <v>0</v>
      </c>
      <c r="S16" s="386">
        <f t="shared" si="10"/>
        <v>0</v>
      </c>
      <c r="T16" s="387">
        <f t="shared" si="8"/>
        <v>6727599.5805600006</v>
      </c>
      <c r="U16" s="387">
        <f t="shared" si="6"/>
        <v>6727599.5805599997</v>
      </c>
      <c r="V16" s="387">
        <f t="shared" si="3"/>
        <v>0</v>
      </c>
      <c r="AU16"/>
      <c r="AV16"/>
    </row>
    <row r="17" spans="1:48">
      <c r="A17" s="384" t="str">
        <f>'Rainier Tower Financial '!A62</f>
        <v>Construction Management Fee</v>
      </c>
      <c r="B17" s="490">
        <f>'Rainier Tower Financial '!C62</f>
        <v>2789941.9680000003</v>
      </c>
      <c r="C17" s="386">
        <f t="shared" si="9"/>
        <v>0</v>
      </c>
      <c r="D17" s="386">
        <f t="shared" si="10"/>
        <v>0</v>
      </c>
      <c r="E17" s="386">
        <f t="shared" si="10"/>
        <v>0</v>
      </c>
      <c r="F17" s="386">
        <f t="shared" si="10"/>
        <v>0</v>
      </c>
      <c r="G17" s="386">
        <f t="shared" si="10"/>
        <v>0</v>
      </c>
      <c r="H17" s="386">
        <f t="shared" si="10"/>
        <v>0</v>
      </c>
      <c r="I17" s="386">
        <f t="shared" si="10"/>
        <v>139497.09840000002</v>
      </c>
      <c r="J17" s="386">
        <f t="shared" si="10"/>
        <v>139497.09840000002</v>
      </c>
      <c r="K17" s="386">
        <f t="shared" si="10"/>
        <v>139497.09840000002</v>
      </c>
      <c r="L17" s="386">
        <f t="shared" si="10"/>
        <v>139497.09840000002</v>
      </c>
      <c r="M17" s="386">
        <f t="shared" si="10"/>
        <v>557988.39360000007</v>
      </c>
      <c r="N17" s="386">
        <f t="shared" si="10"/>
        <v>557988.39360000007</v>
      </c>
      <c r="O17" s="386">
        <f t="shared" si="10"/>
        <v>557988.39360000007</v>
      </c>
      <c r="P17" s="386">
        <f t="shared" si="10"/>
        <v>557988.39360000007</v>
      </c>
      <c r="Q17" s="386">
        <f t="shared" si="10"/>
        <v>0</v>
      </c>
      <c r="R17" s="386">
        <f t="shared" si="10"/>
        <v>0</v>
      </c>
      <c r="S17" s="386">
        <f t="shared" si="10"/>
        <v>0</v>
      </c>
      <c r="T17" s="387">
        <f t="shared" si="8"/>
        <v>2789941.9680000003</v>
      </c>
      <c r="U17" s="387">
        <f t="shared" si="6"/>
        <v>2789941.9680000003</v>
      </c>
      <c r="V17" s="387">
        <f t="shared" si="3"/>
        <v>0</v>
      </c>
      <c r="AU17"/>
      <c r="AV17"/>
    </row>
    <row r="18" spans="1:48">
      <c r="A18" s="384" t="str">
        <f>'Rainier Tower Financial '!A63</f>
        <v>Taxes</v>
      </c>
      <c r="B18" s="490">
        <f>'Rainier Tower Financial '!C63</f>
        <v>863573.99999999988</v>
      </c>
      <c r="C18" s="386">
        <f t="shared" si="9"/>
        <v>0</v>
      </c>
      <c r="D18" s="386">
        <f t="shared" si="10"/>
        <v>0</v>
      </c>
      <c r="E18" s="386">
        <f t="shared" si="10"/>
        <v>0</v>
      </c>
      <c r="F18" s="386">
        <f t="shared" si="10"/>
        <v>0</v>
      </c>
      <c r="G18" s="386">
        <f t="shared" si="10"/>
        <v>0</v>
      </c>
      <c r="H18" s="386">
        <f t="shared" si="10"/>
        <v>0</v>
      </c>
      <c r="I18" s="386">
        <f t="shared" si="10"/>
        <v>43178.7</v>
      </c>
      <c r="J18" s="386">
        <f t="shared" si="10"/>
        <v>43178.7</v>
      </c>
      <c r="K18" s="386">
        <f t="shared" si="10"/>
        <v>43178.7</v>
      </c>
      <c r="L18" s="386">
        <f t="shared" si="10"/>
        <v>43178.7</v>
      </c>
      <c r="M18" s="386">
        <f t="shared" si="10"/>
        <v>172714.8</v>
      </c>
      <c r="N18" s="386">
        <f t="shared" si="10"/>
        <v>172714.8</v>
      </c>
      <c r="O18" s="386">
        <f t="shared" si="10"/>
        <v>172714.8</v>
      </c>
      <c r="P18" s="386">
        <f t="shared" si="10"/>
        <v>172714.8</v>
      </c>
      <c r="Q18" s="386">
        <f t="shared" si="10"/>
        <v>0</v>
      </c>
      <c r="R18" s="386">
        <f t="shared" si="10"/>
        <v>0</v>
      </c>
      <c r="S18" s="386">
        <f t="shared" si="10"/>
        <v>0</v>
      </c>
      <c r="T18" s="387">
        <f t="shared" si="8"/>
        <v>863574</v>
      </c>
      <c r="U18" s="387">
        <f t="shared" si="6"/>
        <v>863573.99999999988</v>
      </c>
      <c r="V18" s="387">
        <f t="shared" si="3"/>
        <v>0</v>
      </c>
      <c r="AU18"/>
      <c r="AV18"/>
    </row>
    <row r="19" spans="1:48">
      <c r="A19" s="384" t="str">
        <f>'Rainier Tower Financial '!A64</f>
        <v>Insurance</v>
      </c>
      <c r="B19" s="490">
        <f>'Rainier Tower Financial '!C64</f>
        <v>511353</v>
      </c>
      <c r="C19" s="386">
        <f t="shared" si="9"/>
        <v>0</v>
      </c>
      <c r="D19" s="386">
        <f t="shared" si="10"/>
        <v>0</v>
      </c>
      <c r="E19" s="386">
        <f t="shared" si="10"/>
        <v>0</v>
      </c>
      <c r="F19" s="386">
        <f t="shared" si="10"/>
        <v>0</v>
      </c>
      <c r="G19" s="386">
        <f t="shared" si="10"/>
        <v>0</v>
      </c>
      <c r="H19" s="386">
        <f t="shared" si="10"/>
        <v>0</v>
      </c>
      <c r="I19" s="386">
        <f t="shared" si="10"/>
        <v>25567.65</v>
      </c>
      <c r="J19" s="386">
        <f t="shared" si="10"/>
        <v>25567.65</v>
      </c>
      <c r="K19" s="386">
        <f t="shared" si="10"/>
        <v>25567.65</v>
      </c>
      <c r="L19" s="386">
        <f t="shared" si="10"/>
        <v>25567.65</v>
      </c>
      <c r="M19" s="386">
        <f t="shared" si="10"/>
        <v>102270.6</v>
      </c>
      <c r="N19" s="386">
        <f t="shared" si="10"/>
        <v>102270.6</v>
      </c>
      <c r="O19" s="386">
        <f t="shared" si="10"/>
        <v>102270.6</v>
      </c>
      <c r="P19" s="386">
        <f t="shared" si="10"/>
        <v>102270.6</v>
      </c>
      <c r="Q19" s="386">
        <f t="shared" si="10"/>
        <v>0</v>
      </c>
      <c r="R19" s="386">
        <f t="shared" si="10"/>
        <v>0</v>
      </c>
      <c r="S19" s="386">
        <f t="shared" si="10"/>
        <v>0</v>
      </c>
      <c r="T19" s="387">
        <f t="shared" si="8"/>
        <v>511353</v>
      </c>
      <c r="U19" s="387">
        <f t="shared" si="6"/>
        <v>511353</v>
      </c>
      <c r="V19" s="387">
        <f t="shared" si="3"/>
        <v>0</v>
      </c>
      <c r="AU19"/>
      <c r="AV19"/>
    </row>
    <row r="20" spans="1:48">
      <c r="A20" s="384" t="str">
        <f>'Rainier Tower Financial '!A65</f>
        <v>Marketing, FFE and Preleasing</v>
      </c>
      <c r="B20" s="490">
        <f>'Rainier Tower Financial '!C65</f>
        <v>511353</v>
      </c>
      <c r="C20" s="386">
        <f t="shared" si="9"/>
        <v>0</v>
      </c>
      <c r="D20" s="386">
        <f t="shared" si="10"/>
        <v>0</v>
      </c>
      <c r="E20" s="386">
        <f t="shared" si="10"/>
        <v>0</v>
      </c>
      <c r="F20" s="386">
        <f t="shared" si="10"/>
        <v>0</v>
      </c>
      <c r="G20" s="386">
        <f t="shared" si="10"/>
        <v>0</v>
      </c>
      <c r="H20" s="386">
        <f t="shared" si="10"/>
        <v>0</v>
      </c>
      <c r="I20" s="386">
        <f t="shared" si="10"/>
        <v>25567.65</v>
      </c>
      <c r="J20" s="386">
        <f t="shared" si="10"/>
        <v>25567.65</v>
      </c>
      <c r="K20" s="386">
        <f t="shared" si="10"/>
        <v>25567.65</v>
      </c>
      <c r="L20" s="386">
        <f t="shared" si="10"/>
        <v>25567.65</v>
      </c>
      <c r="M20" s="386">
        <f t="shared" si="10"/>
        <v>102270.6</v>
      </c>
      <c r="N20" s="386">
        <f t="shared" si="10"/>
        <v>102270.6</v>
      </c>
      <c r="O20" s="386">
        <f t="shared" si="10"/>
        <v>102270.6</v>
      </c>
      <c r="P20" s="386">
        <f t="shared" si="10"/>
        <v>102270.6</v>
      </c>
      <c r="Q20" s="386">
        <f t="shared" si="10"/>
        <v>0</v>
      </c>
      <c r="R20" s="386">
        <f t="shared" si="10"/>
        <v>0</v>
      </c>
      <c r="S20" s="386">
        <f t="shared" si="10"/>
        <v>0</v>
      </c>
      <c r="T20" s="387">
        <f t="shared" si="8"/>
        <v>511353</v>
      </c>
      <c r="U20" s="387">
        <f t="shared" si="6"/>
        <v>511353</v>
      </c>
      <c r="V20" s="387">
        <f t="shared" si="3"/>
        <v>0</v>
      </c>
      <c r="AU20"/>
      <c r="AV20"/>
    </row>
    <row r="21" spans="1:48">
      <c r="A21" s="384" t="str">
        <f>'Rainier Tower Financial '!A66</f>
        <v>Net interest during closeout</v>
      </c>
      <c r="B21" s="490">
        <f>'Rainier Tower Financial '!C66</f>
        <v>1755484</v>
      </c>
      <c r="C21" s="386">
        <f t="shared" si="9"/>
        <v>0</v>
      </c>
      <c r="D21" s="386">
        <f t="shared" si="10"/>
        <v>0</v>
      </c>
      <c r="E21" s="386">
        <f t="shared" si="10"/>
        <v>0</v>
      </c>
      <c r="F21" s="386">
        <f t="shared" si="10"/>
        <v>0</v>
      </c>
      <c r="G21" s="386">
        <f t="shared" si="10"/>
        <v>0</v>
      </c>
      <c r="H21" s="386">
        <f t="shared" si="10"/>
        <v>0</v>
      </c>
      <c r="I21" s="386">
        <f t="shared" si="10"/>
        <v>87774.200000000012</v>
      </c>
      <c r="J21" s="386">
        <f t="shared" si="10"/>
        <v>87774.200000000012</v>
      </c>
      <c r="K21" s="386">
        <f t="shared" si="10"/>
        <v>87774.200000000012</v>
      </c>
      <c r="L21" s="386">
        <f t="shared" si="10"/>
        <v>87774.200000000012</v>
      </c>
      <c r="M21" s="386">
        <f t="shared" si="10"/>
        <v>351096.80000000005</v>
      </c>
      <c r="N21" s="386">
        <f t="shared" si="10"/>
        <v>351096.80000000005</v>
      </c>
      <c r="O21" s="386">
        <f t="shared" si="10"/>
        <v>351096.80000000005</v>
      </c>
      <c r="P21" s="386">
        <f t="shared" si="10"/>
        <v>351096.80000000005</v>
      </c>
      <c r="Q21" s="386">
        <f t="shared" si="10"/>
        <v>0</v>
      </c>
      <c r="R21" s="386">
        <f t="shared" si="10"/>
        <v>0</v>
      </c>
      <c r="S21" s="386">
        <f t="shared" si="10"/>
        <v>0</v>
      </c>
      <c r="T21" s="387">
        <f t="shared" si="8"/>
        <v>1755484.0000000002</v>
      </c>
      <c r="U21" s="387">
        <f t="shared" si="6"/>
        <v>1755484</v>
      </c>
      <c r="V21" s="387">
        <f t="shared" si="3"/>
        <v>0</v>
      </c>
      <c r="AU21"/>
      <c r="AV21"/>
    </row>
    <row r="22" spans="1:48">
      <c r="A22" s="384" t="str">
        <f>'Rainier Tower Financial '!A67</f>
        <v>Retail Tenant Improvements</v>
      </c>
      <c r="B22" s="490">
        <f>'Rainier Tower Financial '!C67</f>
        <v>8358975</v>
      </c>
      <c r="C22" s="386">
        <f t="shared" si="9"/>
        <v>0</v>
      </c>
      <c r="D22" s="386">
        <f t="shared" si="10"/>
        <v>0</v>
      </c>
      <c r="E22" s="386">
        <f t="shared" si="10"/>
        <v>0</v>
      </c>
      <c r="F22" s="386">
        <f t="shared" si="10"/>
        <v>0</v>
      </c>
      <c r="G22" s="386">
        <f t="shared" si="10"/>
        <v>0</v>
      </c>
      <c r="H22" s="386">
        <f t="shared" si="10"/>
        <v>0</v>
      </c>
      <c r="I22" s="386">
        <f t="shared" si="10"/>
        <v>417948.75</v>
      </c>
      <c r="J22" s="386">
        <f t="shared" si="10"/>
        <v>417948.75</v>
      </c>
      <c r="K22" s="386">
        <f t="shared" si="10"/>
        <v>417948.75</v>
      </c>
      <c r="L22" s="386">
        <f t="shared" si="10"/>
        <v>417948.75</v>
      </c>
      <c r="M22" s="386">
        <f t="shared" si="10"/>
        <v>1671795</v>
      </c>
      <c r="N22" s="386">
        <f t="shared" si="10"/>
        <v>1671795</v>
      </c>
      <c r="O22" s="386">
        <f t="shared" si="10"/>
        <v>1671795</v>
      </c>
      <c r="P22" s="386">
        <f t="shared" si="10"/>
        <v>1671795</v>
      </c>
      <c r="Q22" s="386">
        <f t="shared" si="10"/>
        <v>0</v>
      </c>
      <c r="R22" s="386">
        <f t="shared" si="10"/>
        <v>0</v>
      </c>
      <c r="S22" s="386">
        <f t="shared" si="10"/>
        <v>0</v>
      </c>
      <c r="T22" s="387">
        <f t="shared" si="8"/>
        <v>8358975</v>
      </c>
      <c r="U22" s="387">
        <f t="shared" si="6"/>
        <v>8358975</v>
      </c>
      <c r="V22" s="387">
        <f t="shared" si="3"/>
        <v>0</v>
      </c>
      <c r="AU22"/>
      <c r="AV22"/>
    </row>
    <row r="23" spans="1:48">
      <c r="A23" s="384" t="str">
        <f>'Rainier Tower Financial '!A68</f>
        <v>Retail brokerage</v>
      </c>
      <c r="B23" s="490">
        <f>'Rainier Tower Financial '!C68</f>
        <v>1170256.5</v>
      </c>
      <c r="C23" s="390">
        <f>B23</f>
        <v>1170256.5</v>
      </c>
      <c r="D23" s="388">
        <v>0</v>
      </c>
      <c r="E23" s="391">
        <v>0</v>
      </c>
      <c r="F23" s="386">
        <f t="shared" si="10"/>
        <v>0</v>
      </c>
      <c r="G23" s="386">
        <f t="shared" si="10"/>
        <v>0</v>
      </c>
      <c r="H23" s="386">
        <f t="shared" si="10"/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>
        <f t="shared" si="10"/>
        <v>0</v>
      </c>
      <c r="R23" s="386">
        <f t="shared" si="10"/>
        <v>0</v>
      </c>
      <c r="S23" s="386">
        <f t="shared" si="10"/>
        <v>0</v>
      </c>
      <c r="T23" s="387">
        <f t="shared" si="8"/>
        <v>1170256.5</v>
      </c>
      <c r="U23" s="387">
        <f t="shared" si="6"/>
        <v>1170256.5</v>
      </c>
      <c r="V23" s="387">
        <f t="shared" si="3"/>
        <v>0</v>
      </c>
      <c r="AU23"/>
      <c r="AV23"/>
    </row>
    <row r="24" spans="1:48">
      <c r="A24" s="384" t="str">
        <f>'Rainier Tower Financial '!A69</f>
        <v>Construction Loan Origination</v>
      </c>
      <c r="B24" s="490">
        <f>'Rainier Tower Financial '!C69</f>
        <v>2504730</v>
      </c>
      <c r="C24" s="390">
        <f>B24</f>
        <v>2504730</v>
      </c>
      <c r="D24" s="388">
        <v>0</v>
      </c>
      <c r="E24" s="391">
        <v>0</v>
      </c>
      <c r="F24" s="386">
        <f t="shared" si="10"/>
        <v>0</v>
      </c>
      <c r="G24" s="386">
        <f t="shared" si="10"/>
        <v>0</v>
      </c>
      <c r="H24" s="386">
        <f t="shared" si="10"/>
        <v>0</v>
      </c>
      <c r="I24" s="386">
        <v>0</v>
      </c>
      <c r="J24" s="386">
        <v>0</v>
      </c>
      <c r="K24" s="386">
        <v>0</v>
      </c>
      <c r="L24" s="386">
        <v>0</v>
      </c>
      <c r="M24" s="386">
        <v>0</v>
      </c>
      <c r="N24" s="386">
        <v>0</v>
      </c>
      <c r="O24" s="386">
        <v>0</v>
      </c>
      <c r="P24" s="386">
        <v>0</v>
      </c>
      <c r="Q24" s="386">
        <f t="shared" si="10"/>
        <v>0</v>
      </c>
      <c r="R24" s="386">
        <f t="shared" si="10"/>
        <v>0</v>
      </c>
      <c r="S24" s="386">
        <f t="shared" si="10"/>
        <v>0</v>
      </c>
      <c r="T24" s="387">
        <f t="shared" si="8"/>
        <v>2504730</v>
      </c>
      <c r="U24" s="387">
        <f t="shared" si="6"/>
        <v>2504730</v>
      </c>
      <c r="V24" s="387">
        <f t="shared" si="3"/>
        <v>0</v>
      </c>
      <c r="AU24"/>
      <c r="AV24"/>
    </row>
    <row r="25" spans="1:48">
      <c r="A25" s="384" t="str">
        <f>'Rainier Tower Financial '!A70</f>
        <v>Construction Interest</v>
      </c>
      <c r="B25" s="490">
        <f>'Rainier Tower Financial '!C70</f>
        <v>11703230</v>
      </c>
      <c r="C25" s="386">
        <f>$B25*C$5</f>
        <v>0</v>
      </c>
      <c r="D25" s="386">
        <f t="shared" ref="D25:S26" si="11">$B25*D$5</f>
        <v>0</v>
      </c>
      <c r="E25" s="386">
        <f t="shared" si="11"/>
        <v>0</v>
      </c>
      <c r="F25" s="386">
        <f t="shared" si="11"/>
        <v>0</v>
      </c>
      <c r="G25" s="386">
        <f t="shared" si="11"/>
        <v>0</v>
      </c>
      <c r="H25" s="386">
        <f t="shared" si="11"/>
        <v>0</v>
      </c>
      <c r="I25" s="386">
        <f t="shared" si="11"/>
        <v>585161.5</v>
      </c>
      <c r="J25" s="386">
        <f t="shared" si="11"/>
        <v>585161.5</v>
      </c>
      <c r="K25" s="386">
        <f t="shared" si="11"/>
        <v>585161.5</v>
      </c>
      <c r="L25" s="386">
        <f t="shared" si="11"/>
        <v>585161.5</v>
      </c>
      <c r="M25" s="386">
        <f t="shared" si="11"/>
        <v>2340646</v>
      </c>
      <c r="N25" s="386">
        <f t="shared" si="11"/>
        <v>2340646</v>
      </c>
      <c r="O25" s="386">
        <f t="shared" si="11"/>
        <v>2340646</v>
      </c>
      <c r="P25" s="386">
        <f t="shared" si="11"/>
        <v>2340646</v>
      </c>
      <c r="Q25" s="386">
        <f t="shared" si="11"/>
        <v>0</v>
      </c>
      <c r="R25" s="386">
        <f t="shared" si="11"/>
        <v>0</v>
      </c>
      <c r="S25" s="386">
        <f t="shared" si="11"/>
        <v>0</v>
      </c>
      <c r="T25" s="387">
        <f t="shared" si="8"/>
        <v>11703230</v>
      </c>
      <c r="U25" s="387">
        <f t="shared" si="6"/>
        <v>11703230</v>
      </c>
      <c r="V25" s="387">
        <f t="shared" si="3"/>
        <v>0</v>
      </c>
      <c r="AU25"/>
      <c r="AV25"/>
    </row>
    <row r="26" spans="1:48" ht="15.75" thickBot="1">
      <c r="A26" s="467" t="str">
        <f>'Rainier Tower Financial '!A71</f>
        <v>Additional Contingency</v>
      </c>
      <c r="B26" s="400">
        <f>'Rainier Tower Financial '!C71</f>
        <v>2242533.1935199997</v>
      </c>
      <c r="C26" s="399">
        <f>$B26*C$5</f>
        <v>0</v>
      </c>
      <c r="D26" s="399">
        <f t="shared" si="11"/>
        <v>0</v>
      </c>
      <c r="E26" s="399">
        <f t="shared" si="11"/>
        <v>0</v>
      </c>
      <c r="F26" s="399">
        <f t="shared" si="11"/>
        <v>0</v>
      </c>
      <c r="G26" s="399">
        <f t="shared" si="11"/>
        <v>0</v>
      </c>
      <c r="H26" s="399">
        <f t="shared" si="11"/>
        <v>0</v>
      </c>
      <c r="I26" s="399">
        <f t="shared" si="11"/>
        <v>112126.659676</v>
      </c>
      <c r="J26" s="399">
        <f t="shared" si="11"/>
        <v>112126.659676</v>
      </c>
      <c r="K26" s="399">
        <f t="shared" si="11"/>
        <v>112126.659676</v>
      </c>
      <c r="L26" s="399">
        <f t="shared" si="11"/>
        <v>112126.659676</v>
      </c>
      <c r="M26" s="399">
        <f t="shared" si="11"/>
        <v>448506.63870399998</v>
      </c>
      <c r="N26" s="399">
        <f t="shared" si="11"/>
        <v>448506.63870399998</v>
      </c>
      <c r="O26" s="399">
        <f t="shared" si="11"/>
        <v>448506.63870399998</v>
      </c>
      <c r="P26" s="399">
        <f t="shared" si="11"/>
        <v>448506.63870399998</v>
      </c>
      <c r="Q26" s="399">
        <f t="shared" si="11"/>
        <v>0</v>
      </c>
      <c r="R26" s="399">
        <f t="shared" si="11"/>
        <v>0</v>
      </c>
      <c r="S26" s="399">
        <f t="shared" si="11"/>
        <v>0</v>
      </c>
      <c r="T26" s="400">
        <f t="shared" si="8"/>
        <v>2242533.1935199997</v>
      </c>
      <c r="U26" s="400">
        <f t="shared" si="6"/>
        <v>2242533.1935199997</v>
      </c>
      <c r="V26" s="400">
        <f t="shared" si="3"/>
        <v>0</v>
      </c>
      <c r="AU26"/>
      <c r="AV26"/>
    </row>
    <row r="27" spans="1:48" ht="16.5" thickTop="1" thickBot="1">
      <c r="A27" s="467" t="str">
        <f>'Rainier Tower Financial '!A72</f>
        <v>Total Project Cost</v>
      </c>
      <c r="B27" s="174">
        <f t="shared" ref="B27:S27" si="12">SUM(B6:B26)</f>
        <v>263392349.59408</v>
      </c>
      <c r="C27" s="149">
        <f t="shared" si="12"/>
        <v>58494986.5</v>
      </c>
      <c r="D27" s="149">
        <f t="shared" si="12"/>
        <v>0</v>
      </c>
      <c r="E27" s="149">
        <f t="shared" si="12"/>
        <v>0</v>
      </c>
      <c r="F27" s="149">
        <f t="shared" si="12"/>
        <v>0</v>
      </c>
      <c r="G27" s="149">
        <f t="shared" si="12"/>
        <v>0</v>
      </c>
      <c r="H27" s="149">
        <f t="shared" si="12"/>
        <v>0</v>
      </c>
      <c r="I27" s="149">
        <f t="shared" si="12"/>
        <v>10244868.154704001</v>
      </c>
      <c r="J27" s="149">
        <f t="shared" si="12"/>
        <v>10244868.154704001</v>
      </c>
      <c r="K27" s="149">
        <f t="shared" si="12"/>
        <v>10244868.154704001</v>
      </c>
      <c r="L27" s="149">
        <f t="shared" si="12"/>
        <v>10244868.154704001</v>
      </c>
      <c r="M27" s="149">
        <f t="shared" si="12"/>
        <v>40979472.618816003</v>
      </c>
      <c r="N27" s="149">
        <f t="shared" si="12"/>
        <v>40979472.618816003</v>
      </c>
      <c r="O27" s="149">
        <f t="shared" si="12"/>
        <v>40979472.618816003</v>
      </c>
      <c r="P27" s="149">
        <f t="shared" si="12"/>
        <v>40979472.618816003</v>
      </c>
      <c r="Q27" s="149">
        <f t="shared" si="12"/>
        <v>0</v>
      </c>
      <c r="R27" s="149">
        <f t="shared" si="12"/>
        <v>0</v>
      </c>
      <c r="S27" s="149">
        <f t="shared" si="12"/>
        <v>0</v>
      </c>
      <c r="T27" s="146">
        <f>SUM(T6:T26)</f>
        <v>212572349.59408</v>
      </c>
      <c r="U27" s="145">
        <f>SUM(U6:U26)</f>
        <v>261472349.59408</v>
      </c>
      <c r="V27" s="145"/>
      <c r="AU27"/>
      <c r="AV27"/>
    </row>
    <row r="28" spans="1:48" ht="15.75" thickTop="1">
      <c r="A28" s="147" t="s">
        <v>261</v>
      </c>
      <c r="B28" s="175">
        <f>'Rainier Tower Financial '!B80</f>
        <v>-5973000</v>
      </c>
      <c r="C28" s="176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9"/>
      <c r="U28" s="176"/>
      <c r="V28" s="145"/>
      <c r="AU28"/>
      <c r="AV28"/>
    </row>
    <row r="29" spans="1:48" ht="15.75" thickBot="1">
      <c r="A29" s="401" t="s">
        <v>262</v>
      </c>
      <c r="B29" s="491">
        <f>B27+B28</f>
        <v>257419349.59408</v>
      </c>
      <c r="C29" s="492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  <c r="R29" s="414"/>
      <c r="S29" s="414"/>
      <c r="T29" s="414"/>
      <c r="U29" s="492"/>
      <c r="V29" s="403"/>
      <c r="AU29"/>
      <c r="AV29"/>
    </row>
    <row r="30" spans="1:48">
      <c r="A30" s="154" t="s">
        <v>263</v>
      </c>
      <c r="B30" s="155">
        <f>SUM(C30:T30)</f>
        <v>105356939.837632</v>
      </c>
      <c r="C30" s="387">
        <f>C27</f>
        <v>58494986.5</v>
      </c>
      <c r="D30" s="387">
        <f t="shared" ref="D30:S30" si="13">IF(C31+D27&lt;=$B$31,D27,($B$31-C31))</f>
        <v>0</v>
      </c>
      <c r="E30" s="387">
        <f t="shared" si="13"/>
        <v>0</v>
      </c>
      <c r="F30" s="387">
        <f t="shared" si="13"/>
        <v>0</v>
      </c>
      <c r="G30" s="387">
        <f t="shared" si="13"/>
        <v>0</v>
      </c>
      <c r="H30" s="387">
        <f t="shared" si="13"/>
        <v>0</v>
      </c>
      <c r="I30" s="387">
        <f t="shared" si="13"/>
        <v>10244868.154704001</v>
      </c>
      <c r="J30" s="387">
        <f t="shared" si="13"/>
        <v>10244868.154704001</v>
      </c>
      <c r="K30" s="387">
        <f t="shared" si="13"/>
        <v>10244868.154704001</v>
      </c>
      <c r="L30" s="387">
        <f t="shared" si="13"/>
        <v>10244868.154704001</v>
      </c>
      <c r="M30" s="387">
        <f t="shared" si="13"/>
        <v>5882480.7188159823</v>
      </c>
      <c r="N30" s="387">
        <f t="shared" si="13"/>
        <v>0</v>
      </c>
      <c r="O30" s="387">
        <f t="shared" si="13"/>
        <v>0</v>
      </c>
      <c r="P30" s="387">
        <f t="shared" si="13"/>
        <v>0</v>
      </c>
      <c r="Q30" s="387">
        <f t="shared" si="13"/>
        <v>0</v>
      </c>
      <c r="R30" s="387">
        <f t="shared" si="13"/>
        <v>0</v>
      </c>
      <c r="S30" s="387">
        <f t="shared" si="13"/>
        <v>0</v>
      </c>
      <c r="T30" s="408"/>
      <c r="U30" s="407"/>
      <c r="V30" s="406"/>
      <c r="AU30"/>
      <c r="AV30"/>
    </row>
    <row r="31" spans="1:48" ht="15.75" thickBot="1">
      <c r="A31" s="384" t="s">
        <v>264</v>
      </c>
      <c r="B31" s="151">
        <f>'Rainier Tower Financial '!B83</f>
        <v>105356939.837632</v>
      </c>
      <c r="C31" s="387">
        <f>C30</f>
        <v>58494986.5</v>
      </c>
      <c r="D31" s="387">
        <f>IF(SUM($C$30:D30)&lt;=$B31,SUM($C$30:D30),0)</f>
        <v>58494986.5</v>
      </c>
      <c r="E31" s="387">
        <f>IF(SUM($C$30:E30)&lt;=$B31,SUM($C$30:E30),0)</f>
        <v>58494986.5</v>
      </c>
      <c r="F31" s="387">
        <f>IF(SUM($C$30:F30)&lt;=$B31,SUM($C$30:F30),0)</f>
        <v>58494986.5</v>
      </c>
      <c r="G31" s="387">
        <f>IF(SUM($C$30:G30)&lt;=$B31,SUM($C$30:G30),0)</f>
        <v>58494986.5</v>
      </c>
      <c r="H31" s="387">
        <f>IF(SUM($C$30:H30)&lt;=$B31,SUM($C$30:H30),0)</f>
        <v>58494986.5</v>
      </c>
      <c r="I31" s="387">
        <f>IF(SUM($C$30:I30)&lt;=$B31,SUM($C$30:I30),0)</f>
        <v>68739854.654704005</v>
      </c>
      <c r="J31" s="387">
        <f>IF(SUM($C$30:J30)&lt;=$B31,SUM($C$30:J30),0)</f>
        <v>78984722.809408009</v>
      </c>
      <c r="K31" s="387">
        <f>IF(SUM($C$30:K30)&lt;=$B31,SUM($C$30:K30),0)</f>
        <v>89229590.964112014</v>
      </c>
      <c r="L31" s="387">
        <f>IF(SUM($C$30:L30)&lt;=$B31,SUM($C$30:L30),0)</f>
        <v>99474459.118816018</v>
      </c>
      <c r="M31" s="387">
        <f>IF(SUM($C$30:M30)&lt;=$B31,SUM($C$30:M30),0)</f>
        <v>105356939.837632</v>
      </c>
      <c r="N31" s="387">
        <f>IF(SUM($C$30:N30)&lt;=$B31,SUM($C$30:N30),0)</f>
        <v>105356939.837632</v>
      </c>
      <c r="O31" s="387">
        <f>IF(SUM($C$30:O30)&lt;=$B31,SUM($C$30:O30),0)</f>
        <v>105356939.837632</v>
      </c>
      <c r="P31" s="387">
        <f>IF(SUM($C$30:P30)&lt;=$B31,SUM($C$30:P30),0)</f>
        <v>105356939.837632</v>
      </c>
      <c r="Q31" s="387">
        <f>IF(SUM($C$30:Q30)&lt;=$B31,SUM($C$30:Q30),0)</f>
        <v>105356939.837632</v>
      </c>
      <c r="R31" s="387">
        <f>IF(SUM($C$30:R30)&lt;=$B31,SUM($C$30:R30),0)</f>
        <v>105356939.837632</v>
      </c>
      <c r="S31" s="387">
        <f>IF(SUM($C$30:S30)&lt;=$B31,SUM($C$30:S30),0)</f>
        <v>105356939.837632</v>
      </c>
      <c r="T31" s="408"/>
      <c r="U31" s="407"/>
      <c r="V31" s="406"/>
      <c r="AU31"/>
      <c r="AV31"/>
    </row>
    <row r="32" spans="1:48">
      <c r="A32" s="152" t="s">
        <v>265</v>
      </c>
      <c r="B32" s="153">
        <f>'Rainier Tower Financial '!B82</f>
        <v>158035409.756448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7"/>
      <c r="V32" s="406"/>
      <c r="AU32"/>
      <c r="AV32"/>
    </row>
    <row r="33" spans="1:48" ht="15.75" thickBot="1">
      <c r="A33" s="409" t="s">
        <v>266</v>
      </c>
      <c r="B33" s="410">
        <f>PMT(0.045,30,(B32))</f>
        <v>-9702037.6391400788</v>
      </c>
      <c r="C33" s="407"/>
      <c r="D33" s="408"/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7"/>
      <c r="V33" s="406"/>
      <c r="AU33"/>
      <c r="AV33"/>
    </row>
    <row r="34" spans="1:48">
      <c r="A34" s="173" t="s">
        <v>267</v>
      </c>
      <c r="B34" s="230">
        <f>SUM(C34:T34)</f>
        <v>0</v>
      </c>
      <c r="C34" s="41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94"/>
      <c r="U34" s="407"/>
      <c r="V34" s="406"/>
      <c r="AU34"/>
      <c r="AV34"/>
    </row>
    <row r="35" spans="1:48">
      <c r="A35" s="474" t="s">
        <v>268</v>
      </c>
      <c r="B35" s="474"/>
      <c r="C35" s="408"/>
      <c r="D35" s="408"/>
      <c r="E35" s="408"/>
      <c r="F35" s="408"/>
      <c r="G35" s="408"/>
      <c r="H35" s="408"/>
      <c r="I35" s="408"/>
      <c r="J35" s="408"/>
      <c r="K35" s="408"/>
      <c r="L35" s="408"/>
      <c r="M35" s="408"/>
      <c r="N35" s="408"/>
      <c r="O35" s="408"/>
      <c r="P35" s="408"/>
      <c r="Q35" s="408"/>
      <c r="R35" s="408"/>
      <c r="S35" s="408"/>
      <c r="T35" s="412"/>
      <c r="U35" s="407"/>
      <c r="V35" s="406"/>
      <c r="AU35"/>
      <c r="AV35"/>
    </row>
    <row r="36" spans="1:48">
      <c r="A36" s="404" t="s">
        <v>269</v>
      </c>
      <c r="B36" s="258">
        <f>'Rainier Tower Financial '!B90+'Rainier Tower Financial '!B91</f>
        <v>169917490.243552</v>
      </c>
      <c r="C36" s="412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4"/>
      <c r="U36" s="407"/>
      <c r="V36" s="406"/>
      <c r="AU36"/>
      <c r="AV36"/>
    </row>
    <row r="37" spans="1:48">
      <c r="A37" s="394" t="s">
        <v>270</v>
      </c>
      <c r="B37" s="387">
        <f>SUM(C37:R37)</f>
        <v>64560550.405919999</v>
      </c>
      <c r="C37" s="387">
        <f t="shared" ref="C37:Q37" si="14">-C30</f>
        <v>-58494986.5</v>
      </c>
      <c r="D37" s="387">
        <f t="shared" si="14"/>
        <v>0</v>
      </c>
      <c r="E37" s="387">
        <f t="shared" si="14"/>
        <v>0</v>
      </c>
      <c r="F37" s="387">
        <f t="shared" si="14"/>
        <v>0</v>
      </c>
      <c r="G37" s="387">
        <f t="shared" si="14"/>
        <v>0</v>
      </c>
      <c r="H37" s="387">
        <f t="shared" si="14"/>
        <v>0</v>
      </c>
      <c r="I37" s="387">
        <f t="shared" si="14"/>
        <v>-10244868.154704001</v>
      </c>
      <c r="J37" s="387">
        <f t="shared" si="14"/>
        <v>-10244868.154704001</v>
      </c>
      <c r="K37" s="387">
        <f t="shared" si="14"/>
        <v>-10244868.154704001</v>
      </c>
      <c r="L37" s="387">
        <f t="shared" si="14"/>
        <v>-10244868.154704001</v>
      </c>
      <c r="M37" s="387">
        <f t="shared" si="14"/>
        <v>-5882480.7188159823</v>
      </c>
      <c r="N37" s="387">
        <f t="shared" si="14"/>
        <v>0</v>
      </c>
      <c r="O37" s="387">
        <f t="shared" si="14"/>
        <v>0</v>
      </c>
      <c r="P37" s="387">
        <f t="shared" si="14"/>
        <v>0</v>
      </c>
      <c r="Q37" s="387">
        <f t="shared" si="14"/>
        <v>0</v>
      </c>
      <c r="R37" s="419">
        <f>B36</f>
        <v>169917490.243552</v>
      </c>
      <c r="T37" s="414"/>
      <c r="U37" s="407"/>
      <c r="V37" s="406"/>
      <c r="AU37"/>
      <c r="AV37"/>
    </row>
    <row r="38" spans="1:48">
      <c r="A38" s="394" t="s">
        <v>298</v>
      </c>
      <c r="B38" s="496">
        <f>IF(B37&lt;0,0,IRR(C37:R37))</f>
        <v>4.1203297585523435E-2</v>
      </c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14"/>
      <c r="U38" s="407"/>
      <c r="V38" s="406"/>
      <c r="AU38"/>
      <c r="AV38"/>
    </row>
    <row r="39" spans="1:48">
      <c r="A39" s="394" t="s">
        <v>272</v>
      </c>
      <c r="B39" s="498">
        <f>POWER((1+B38),4)-1</f>
        <v>0.17528214824556487</v>
      </c>
      <c r="C39" s="414"/>
      <c r="D39" s="414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4"/>
      <c r="Q39" s="423"/>
      <c r="R39" s="423"/>
      <c r="S39" s="423"/>
      <c r="T39" s="414"/>
      <c r="U39" s="407"/>
      <c r="V39" s="406"/>
      <c r="AU39"/>
      <c r="AV39"/>
    </row>
    <row r="40" spans="1:48">
      <c r="A40" s="474" t="s">
        <v>273</v>
      </c>
      <c r="B40" s="47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07"/>
      <c r="V40" s="406"/>
    </row>
    <row r="41" spans="1:48">
      <c r="A41" s="404" t="s">
        <v>274</v>
      </c>
      <c r="B41" s="258">
        <f>'Rainier Tower Financial '!B90+'Rainier Tower Financial '!B80</f>
        <v>321979900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08"/>
      <c r="N41" s="414"/>
      <c r="O41" s="414"/>
      <c r="P41" s="414"/>
      <c r="Q41" s="414"/>
      <c r="R41" s="414"/>
      <c r="S41" s="408"/>
      <c r="T41" s="414"/>
      <c r="U41" s="407"/>
      <c r="V41" s="406"/>
    </row>
    <row r="42" spans="1:48">
      <c r="A42" s="394" t="s">
        <v>275</v>
      </c>
      <c r="B42" s="387">
        <f>SUM(C42:R42)</f>
        <v>58587550.405919909</v>
      </c>
      <c r="C42" s="387">
        <f>-C27</f>
        <v>-58494986.5</v>
      </c>
      <c r="D42" s="387">
        <f t="shared" ref="D42:Q42" si="15">-D27</f>
        <v>0</v>
      </c>
      <c r="E42" s="387">
        <f t="shared" si="15"/>
        <v>0</v>
      </c>
      <c r="F42" s="387">
        <f t="shared" si="15"/>
        <v>0</v>
      </c>
      <c r="G42" s="387">
        <f t="shared" si="15"/>
        <v>0</v>
      </c>
      <c r="H42" s="387">
        <f t="shared" si="15"/>
        <v>0</v>
      </c>
      <c r="I42" s="387">
        <f t="shared" si="15"/>
        <v>-10244868.154704001</v>
      </c>
      <c r="J42" s="387">
        <f t="shared" si="15"/>
        <v>-10244868.154704001</v>
      </c>
      <c r="K42" s="387">
        <f t="shared" si="15"/>
        <v>-10244868.154704001</v>
      </c>
      <c r="L42" s="387">
        <f t="shared" si="15"/>
        <v>-10244868.154704001</v>
      </c>
      <c r="M42" s="387">
        <f t="shared" si="15"/>
        <v>-40979472.618816003</v>
      </c>
      <c r="N42" s="387">
        <f t="shared" si="15"/>
        <v>-40979472.618816003</v>
      </c>
      <c r="O42" s="387">
        <f t="shared" si="15"/>
        <v>-40979472.618816003</v>
      </c>
      <c r="P42" s="387">
        <f t="shared" si="15"/>
        <v>-40979472.618816003</v>
      </c>
      <c r="Q42" s="387">
        <f t="shared" si="15"/>
        <v>0</v>
      </c>
      <c r="R42" s="421">
        <f>B41-S27</f>
        <v>321979900</v>
      </c>
      <c r="T42" s="394"/>
      <c r="U42" s="407"/>
      <c r="V42" s="406"/>
    </row>
    <row r="43" spans="1:48">
      <c r="A43" s="394" t="s">
        <v>276</v>
      </c>
      <c r="B43" s="496">
        <f>IF(B42&lt;0,0,IRR(C42:R42))</f>
        <v>2.9043464747567471E-2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07"/>
      <c r="V43" s="406"/>
    </row>
    <row r="44" spans="1:48">
      <c r="A44" s="394" t="s">
        <v>277</v>
      </c>
      <c r="B44" s="498">
        <f>POWER((1+B43),4)-1</f>
        <v>0.12133370289231515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07"/>
      <c r="V44" s="406"/>
    </row>
    <row r="45" spans="1:48">
      <c r="G45" s="21"/>
    </row>
    <row r="46" spans="1:48">
      <c r="G46" s="21"/>
    </row>
    <row r="47" spans="1:48">
      <c r="G47" s="21"/>
    </row>
    <row r="48" spans="1:48">
      <c r="G48" s="21"/>
    </row>
    <row r="49" spans="7:7">
      <c r="G49" s="21"/>
    </row>
    <row r="50" spans="7:7">
      <c r="G50" s="21"/>
    </row>
    <row r="51" spans="7:7">
      <c r="G51" s="21"/>
    </row>
    <row r="52" spans="7:7">
      <c r="G52" s="21"/>
    </row>
    <row r="53" spans="7:7">
      <c r="G53" s="21"/>
    </row>
    <row r="54" spans="7:7">
      <c r="G54" s="21"/>
    </row>
    <row r="55" spans="7:7">
      <c r="G55" s="21"/>
    </row>
    <row r="56" spans="7:7">
      <c r="G56" s="21"/>
    </row>
    <row r="57" spans="7:7">
      <c r="G57" s="21"/>
    </row>
    <row r="58" spans="7:7">
      <c r="G58" s="21"/>
    </row>
    <row r="59" spans="7:7">
      <c r="G59" s="21"/>
    </row>
    <row r="60" spans="7:7">
      <c r="G60" s="21"/>
    </row>
    <row r="61" spans="7:7">
      <c r="G61" s="21"/>
    </row>
    <row r="62" spans="7:7">
      <c r="G62" s="21"/>
    </row>
    <row r="63" spans="7:7">
      <c r="G63" s="21"/>
    </row>
    <row r="64" spans="7: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</sheetData>
  <mergeCells count="2">
    <mergeCell ref="A1:A4"/>
    <mergeCell ref="T2:V2"/>
  </mergeCells>
  <conditionalFormatting sqref="D4:V4">
    <cfRule type="cellIs" dxfId="43" priority="9" operator="equal">
      <formula>#REF!</formula>
    </cfRule>
    <cfRule type="cellIs" dxfId="42" priority="10" operator="equal">
      <formula>#REF!</formula>
    </cfRule>
    <cfRule type="cellIs" dxfId="41" priority="11" operator="equal">
      <formula>#REF!</formula>
    </cfRule>
    <cfRule type="cellIs" dxfId="40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72F2C-E2E0-4252-85C5-77BC5457C24C}">
  <sheetPr>
    <tabColor rgb="FF0070C0"/>
  </sheetPr>
  <dimension ref="A1:BV574"/>
  <sheetViews>
    <sheetView zoomScale="85" zoomScaleNormal="85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31" sqref="J31"/>
    </sheetView>
  </sheetViews>
  <sheetFormatPr defaultColWidth="8.85546875" defaultRowHeight="15"/>
  <cols>
    <col min="1" max="1" width="35.42578125" style="21" customWidth="1"/>
    <col min="2" max="2" width="14.42578125" style="21" customWidth="1"/>
    <col min="3" max="6" width="13.85546875" style="21" customWidth="1"/>
    <col min="7" max="7" width="13.85546875" style="139" customWidth="1"/>
    <col min="8" max="27" width="13.85546875" style="21" customWidth="1"/>
    <col min="28" max="28" width="13.85546875" style="140" customWidth="1"/>
    <col min="29" max="30" width="13.85546875" style="21" customWidth="1"/>
    <col min="31" max="31" width="13.85546875" style="140" customWidth="1"/>
    <col min="32" max="34" width="13.85546875" style="21" customWidth="1"/>
    <col min="35" max="35" width="13.85546875" style="141" customWidth="1"/>
    <col min="36" max="47" width="13.85546875" style="21" customWidth="1"/>
    <col min="48" max="70" width="17" customWidth="1"/>
    <col min="71" max="71" width="16.5703125" customWidth="1"/>
    <col min="72" max="72" width="15" customWidth="1"/>
    <col min="73" max="73" width="17.85546875" bestFit="1" customWidth="1"/>
    <col min="74" max="74" width="9.5703125" bestFit="1" customWidth="1"/>
    <col min="75" max="75" width="11.85546875" style="21" bestFit="1" customWidth="1"/>
    <col min="76" max="77" width="9.5703125" style="21" bestFit="1" customWidth="1"/>
    <col min="78" max="16384" width="8.85546875" style="21"/>
  </cols>
  <sheetData>
    <row r="1" spans="1:47">
      <c r="A1" s="1365" t="s">
        <v>319</v>
      </c>
      <c r="G1" s="21"/>
      <c r="AB1"/>
      <c r="AC1"/>
      <c r="AD1"/>
      <c r="AE1"/>
      <c r="AI1" s="21"/>
    </row>
    <row r="2" spans="1:47">
      <c r="A2" s="1366"/>
      <c r="G2" s="21"/>
      <c r="AB2"/>
      <c r="AC2"/>
      <c r="AD2"/>
      <c r="AE2"/>
      <c r="AI2" s="21"/>
    </row>
    <row r="3" spans="1:47" ht="15.75" thickBot="1">
      <c r="A3" s="1367"/>
      <c r="B3" s="485" t="s">
        <v>320</v>
      </c>
      <c r="C3" s="540">
        <v>45658</v>
      </c>
      <c r="D3" s="246">
        <f>EOMONTH(C3,3)</f>
        <v>45777</v>
      </c>
      <c r="E3" s="246">
        <f t="shared" ref="E3:AU3" si="0">EOMONTH(D3,3)</f>
        <v>45869</v>
      </c>
      <c r="F3" s="246">
        <f t="shared" si="0"/>
        <v>45961</v>
      </c>
      <c r="G3" s="246">
        <f t="shared" si="0"/>
        <v>46053</v>
      </c>
      <c r="H3" s="246">
        <f t="shared" si="0"/>
        <v>46142</v>
      </c>
      <c r="I3" s="246">
        <f t="shared" si="0"/>
        <v>46234</v>
      </c>
      <c r="J3" s="246">
        <f t="shared" si="0"/>
        <v>46326</v>
      </c>
      <c r="K3" s="246">
        <f t="shared" si="0"/>
        <v>46418</v>
      </c>
      <c r="L3" s="246">
        <f t="shared" si="0"/>
        <v>46507</v>
      </c>
      <c r="M3" s="246">
        <f t="shared" si="0"/>
        <v>46599</v>
      </c>
      <c r="N3" s="246">
        <f t="shared" si="0"/>
        <v>46691</v>
      </c>
      <c r="O3" s="246">
        <f t="shared" si="0"/>
        <v>46783</v>
      </c>
      <c r="P3" s="246">
        <f t="shared" si="0"/>
        <v>46873</v>
      </c>
      <c r="Q3" s="246">
        <f t="shared" si="0"/>
        <v>46965</v>
      </c>
      <c r="R3" s="246">
        <f t="shared" si="0"/>
        <v>47057</v>
      </c>
      <c r="S3" s="246">
        <f t="shared" si="0"/>
        <v>47149</v>
      </c>
      <c r="T3" s="246">
        <f t="shared" si="0"/>
        <v>47238</v>
      </c>
      <c r="U3" s="246">
        <f t="shared" si="0"/>
        <v>47330</v>
      </c>
      <c r="V3" s="246">
        <f t="shared" si="0"/>
        <v>47422</v>
      </c>
      <c r="W3" s="246">
        <f t="shared" si="0"/>
        <v>47514</v>
      </c>
      <c r="X3" s="246">
        <f t="shared" si="0"/>
        <v>47603</v>
      </c>
      <c r="Y3" s="246">
        <f t="shared" si="0"/>
        <v>47695</v>
      </c>
      <c r="Z3" s="246">
        <f t="shared" si="0"/>
        <v>47787</v>
      </c>
      <c r="AA3" s="246">
        <f t="shared" si="0"/>
        <v>47879</v>
      </c>
      <c r="AB3" s="246">
        <f t="shared" si="0"/>
        <v>47968</v>
      </c>
      <c r="AC3" s="246">
        <f t="shared" si="0"/>
        <v>48060</v>
      </c>
      <c r="AD3" s="246">
        <f t="shared" si="0"/>
        <v>48152</v>
      </c>
      <c r="AE3" s="246">
        <f t="shared" si="0"/>
        <v>48244</v>
      </c>
      <c r="AF3" s="246">
        <f t="shared" si="0"/>
        <v>48334</v>
      </c>
      <c r="AG3" s="246">
        <f t="shared" si="0"/>
        <v>48426</v>
      </c>
      <c r="AH3" s="246">
        <f t="shared" si="0"/>
        <v>48518</v>
      </c>
      <c r="AI3" s="246">
        <f t="shared" si="0"/>
        <v>48610</v>
      </c>
      <c r="AJ3" s="246">
        <f t="shared" si="0"/>
        <v>48699</v>
      </c>
      <c r="AK3" s="246">
        <f t="shared" si="0"/>
        <v>48791</v>
      </c>
      <c r="AL3" s="246">
        <f t="shared" si="0"/>
        <v>48883</v>
      </c>
      <c r="AM3" s="246">
        <f t="shared" si="0"/>
        <v>48975</v>
      </c>
      <c r="AN3" s="246">
        <f>EOMONTH(AM3,3)</f>
        <v>49064</v>
      </c>
      <c r="AO3" s="246">
        <f t="shared" si="0"/>
        <v>49156</v>
      </c>
      <c r="AP3" s="246">
        <f t="shared" si="0"/>
        <v>49248</v>
      </c>
      <c r="AQ3" s="246">
        <f t="shared" si="0"/>
        <v>49340</v>
      </c>
      <c r="AR3" s="246">
        <f t="shared" si="0"/>
        <v>49429</v>
      </c>
      <c r="AS3" s="246">
        <f t="shared" si="0"/>
        <v>49521</v>
      </c>
      <c r="AT3" s="246">
        <f t="shared" si="0"/>
        <v>49613</v>
      </c>
      <c r="AU3" s="246">
        <f t="shared" si="0"/>
        <v>49705</v>
      </c>
    </row>
    <row r="4" spans="1:47">
      <c r="A4" s="1176" t="s">
        <v>270</v>
      </c>
      <c r="B4" s="1171">
        <f>SUM(C4:AT4)</f>
        <v>443095182.45024085</v>
      </c>
      <c r="C4" s="387">
        <f>SUM(C7:C13)</f>
        <v>-11213420</v>
      </c>
      <c r="D4" s="387">
        <f t="shared" ref="D4:AT4" si="1">SUM(D7:D13)</f>
        <v>0</v>
      </c>
      <c r="E4" s="387">
        <f t="shared" si="1"/>
        <v>0</v>
      </c>
      <c r="F4" s="387">
        <f t="shared" si="1"/>
        <v>0</v>
      </c>
      <c r="G4" s="387">
        <f t="shared" si="1"/>
        <v>-61638504.151000001</v>
      </c>
      <c r="H4" s="387">
        <f t="shared" si="1"/>
        <v>-2354782.0510000004</v>
      </c>
      <c r="I4" s="387">
        <f t="shared" si="1"/>
        <v>-2354782.0510000004</v>
      </c>
      <c r="J4" s="387">
        <f t="shared" si="1"/>
        <v>-10417488.604232</v>
      </c>
      <c r="K4" s="387">
        <f t="shared" si="1"/>
        <v>-10872092.557232004</v>
      </c>
      <c r="L4" s="387">
        <f t="shared" si="1"/>
        <v>-8062706.5532319993</v>
      </c>
      <c r="M4" s="387">
        <f t="shared" si="1"/>
        <v>-4743299.506159991</v>
      </c>
      <c r="N4" s="387">
        <f t="shared" si="1"/>
        <v>0</v>
      </c>
      <c r="O4" s="387">
        <f t="shared" si="1"/>
        <v>0</v>
      </c>
      <c r="P4" s="387">
        <f t="shared" si="1"/>
        <v>0</v>
      </c>
      <c r="Q4" s="387">
        <f t="shared" si="1"/>
        <v>0</v>
      </c>
      <c r="R4" s="387">
        <f t="shared" si="1"/>
        <v>0</v>
      </c>
      <c r="S4" s="387">
        <f t="shared" si="1"/>
        <v>-150186217.53999999</v>
      </c>
      <c r="T4" s="387">
        <f t="shared" si="1"/>
        <v>-5048399.0770988008</v>
      </c>
      <c r="U4" s="387">
        <f t="shared" si="1"/>
        <v>23808714.369110812</v>
      </c>
      <c r="V4" s="387">
        <f t="shared" si="1"/>
        <v>-12495382.625000002</v>
      </c>
      <c r="W4" s="387">
        <f t="shared" si="1"/>
        <v>-82696667.625</v>
      </c>
      <c r="X4" s="387">
        <f t="shared" si="1"/>
        <v>-24990765.250000004</v>
      </c>
      <c r="Y4" s="387">
        <f t="shared" si="1"/>
        <v>-600948.55899998918</v>
      </c>
      <c r="Z4" s="387">
        <f t="shared" si="1"/>
        <v>238805288.10121602</v>
      </c>
      <c r="AA4" s="387">
        <f t="shared" si="1"/>
        <v>0</v>
      </c>
      <c r="AB4" s="387">
        <f t="shared" si="1"/>
        <v>178066339.22901201</v>
      </c>
      <c r="AC4" s="387">
        <f t="shared" si="1"/>
        <v>-8293805.3491900004</v>
      </c>
      <c r="AD4" s="387">
        <f t="shared" si="1"/>
        <v>-8293805.3491900004</v>
      </c>
      <c r="AE4" s="387">
        <f t="shared" si="1"/>
        <v>-23860224.940403193</v>
      </c>
      <c r="AF4" s="387">
        <f t="shared" si="1"/>
        <v>0</v>
      </c>
      <c r="AG4" s="387">
        <f t="shared" si="1"/>
        <v>0</v>
      </c>
      <c r="AH4" s="387">
        <f t="shared" si="1"/>
        <v>156641930.824</v>
      </c>
      <c r="AI4" s="387">
        <f t="shared" si="1"/>
        <v>0</v>
      </c>
      <c r="AJ4" s="387">
        <f t="shared" si="1"/>
        <v>0</v>
      </c>
      <c r="AK4" s="387">
        <f t="shared" si="1"/>
        <v>-10244868.154704001</v>
      </c>
      <c r="AL4" s="387">
        <f t="shared" si="1"/>
        <v>-10244868.154704001</v>
      </c>
      <c r="AM4" s="387">
        <f t="shared" si="1"/>
        <v>-10244868.154704001</v>
      </c>
      <c r="AN4" s="387">
        <f t="shared" si="1"/>
        <v>-10244868.154704001</v>
      </c>
      <c r="AO4" s="387">
        <f t="shared" si="1"/>
        <v>-5882480.7188159823</v>
      </c>
      <c r="AP4" s="387">
        <f t="shared" si="1"/>
        <v>150840664.80971998</v>
      </c>
      <c r="AQ4" s="387">
        <f t="shared" si="1"/>
        <v>0</v>
      </c>
      <c r="AR4" s="387">
        <f t="shared" si="1"/>
        <v>0</v>
      </c>
      <c r="AS4" s="387">
        <f t="shared" si="1"/>
        <v>0</v>
      </c>
      <c r="AT4" s="387">
        <f t="shared" si="1"/>
        <v>169917490.243552</v>
      </c>
      <c r="AU4" s="387"/>
    </row>
    <row r="5" spans="1:47">
      <c r="A5" s="1177" t="s">
        <v>298</v>
      </c>
      <c r="B5" s="1172">
        <f>IF(B4&lt;0,0,IRR(C4:AT4))</f>
        <v>4.8217975123459933E-2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  <c r="AB5" s="420"/>
      <c r="AC5" s="420"/>
      <c r="AD5" s="420"/>
      <c r="AE5" s="420"/>
      <c r="AF5" s="420"/>
      <c r="AG5" s="420"/>
      <c r="AH5" s="420"/>
      <c r="AI5" s="420"/>
      <c r="AJ5" s="420"/>
      <c r="AK5" s="420"/>
      <c r="AL5" s="420"/>
      <c r="AM5" s="420"/>
      <c r="AN5" s="420"/>
      <c r="AO5" s="420"/>
      <c r="AP5" s="420"/>
      <c r="AQ5" s="420"/>
      <c r="AR5" s="420"/>
      <c r="AS5" s="420"/>
      <c r="AT5" s="420"/>
      <c r="AU5" s="420"/>
    </row>
    <row r="6" spans="1:47" ht="15.75" thickBot="1">
      <c r="A6" s="1178" t="s">
        <v>272</v>
      </c>
      <c r="B6" s="1173">
        <f>POWER((1+B5),4)-1</f>
        <v>0.20727556672912839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4"/>
      <c r="AJ6" s="414"/>
      <c r="AK6" s="414"/>
      <c r="AL6" s="414"/>
      <c r="AM6" s="414"/>
      <c r="AN6" s="414"/>
      <c r="AO6" s="414"/>
      <c r="AP6" s="414"/>
      <c r="AQ6" s="414"/>
      <c r="AR6" s="414"/>
      <c r="AS6" s="414"/>
      <c r="AT6" s="414"/>
      <c r="AU6" s="414"/>
    </row>
    <row r="7" spans="1:47">
      <c r="A7" s="1179" t="str">
        <f>'Development Program'!B5</f>
        <v>Courthouse Condos</v>
      </c>
      <c r="B7" s="498"/>
      <c r="C7" s="789"/>
      <c r="D7" s="789"/>
      <c r="E7" s="789"/>
      <c r="F7" s="789"/>
      <c r="G7" s="787">
        <f>'Courthouse DRAW '!C36</f>
        <v>-59283722.100000001</v>
      </c>
      <c r="H7" s="788">
        <f>'Courthouse DRAW '!D36</f>
        <v>0</v>
      </c>
      <c r="I7" s="788">
        <f>'Courthouse DRAW '!E36</f>
        <v>0</v>
      </c>
      <c r="J7" s="788">
        <f>'Courthouse DRAW '!F36</f>
        <v>-8062706.5532319993</v>
      </c>
      <c r="K7" s="788">
        <f>'Courthouse DRAW '!G36</f>
        <v>-8062706.5532319993</v>
      </c>
      <c r="L7" s="788">
        <f>'Courthouse DRAW '!H36</f>
        <v>-8062706.5532319993</v>
      </c>
      <c r="M7" s="788">
        <f>'Courthouse DRAW '!I36</f>
        <v>-4743299.506159991</v>
      </c>
      <c r="N7" s="788">
        <f>'Courthouse DRAW '!J36</f>
        <v>0</v>
      </c>
      <c r="O7" s="788">
        <f>'Courthouse DRAW '!K36</f>
        <v>0</v>
      </c>
      <c r="P7" s="788">
        <f>'Courthouse DRAW '!L36</f>
        <v>0</v>
      </c>
      <c r="Q7" s="788">
        <f>'Courthouse DRAW '!M36</f>
        <v>0</v>
      </c>
      <c r="R7" s="788">
        <f>'Courthouse DRAW '!N36</f>
        <v>0</v>
      </c>
      <c r="S7" s="788">
        <f>'Courthouse DRAW '!O36</f>
        <v>0</v>
      </c>
      <c r="T7" s="788">
        <f>'Courthouse DRAW '!P36</f>
        <v>0</v>
      </c>
      <c r="U7" s="788">
        <f>'Courthouse DRAW '!Q36</f>
        <v>0</v>
      </c>
      <c r="V7" s="788">
        <f>'Courthouse DRAW '!R36</f>
        <v>0</v>
      </c>
      <c r="W7" s="788">
        <f>'Courthouse DRAW '!S36</f>
        <v>0</v>
      </c>
      <c r="X7" s="788">
        <f>'Courthouse DRAW '!T36</f>
        <v>0</v>
      </c>
      <c r="Y7" s="788">
        <f>'Courthouse DRAW '!U36</f>
        <v>0</v>
      </c>
      <c r="Z7" s="790">
        <f>'Courthouse DRAW '!V36</f>
        <v>238805288.10121602</v>
      </c>
      <c r="AA7" s="788">
        <f>'Courthouse DRAW '!W36</f>
        <v>0</v>
      </c>
      <c r="AB7" s="788">
        <f>'Courthouse DRAW '!X36</f>
        <v>0</v>
      </c>
      <c r="AC7" s="788">
        <f>'Courthouse DRAW '!Y36</f>
        <v>0</v>
      </c>
      <c r="AD7" s="788">
        <f>'Courthouse DRAW '!Z36</f>
        <v>0</v>
      </c>
      <c r="AE7" s="788">
        <f>'Courthouse DRAW '!AA36</f>
        <v>0</v>
      </c>
      <c r="AF7" s="788">
        <f>'Courthouse DRAW '!AB36</f>
        <v>0</v>
      </c>
      <c r="AG7" s="788">
        <f>'Courthouse DRAW '!AC36</f>
        <v>0</v>
      </c>
      <c r="AH7" s="788">
        <f>'Courthouse DRAW '!AD36</f>
        <v>0</v>
      </c>
      <c r="AI7" s="788">
        <f>'Courthouse DRAW '!AE36</f>
        <v>0</v>
      </c>
      <c r="AJ7" s="788">
        <f>'Courthouse DRAW '!AF36</f>
        <v>0</v>
      </c>
      <c r="AK7" s="788">
        <f>'Courthouse DRAW '!AG36</f>
        <v>0</v>
      </c>
      <c r="AL7" s="788">
        <f>'Courthouse DRAW '!AH36</f>
        <v>0</v>
      </c>
      <c r="AM7" s="788">
        <f>'Courthouse DRAW '!AI36</f>
        <v>0</v>
      </c>
      <c r="AN7" s="788">
        <f>'Courthouse DRAW '!AJ36</f>
        <v>0</v>
      </c>
      <c r="AO7" s="788">
        <f>'Courthouse DRAW '!AK36</f>
        <v>0</v>
      </c>
      <c r="AP7" s="788">
        <f>'Courthouse DRAW '!AL36</f>
        <v>0</v>
      </c>
      <c r="AQ7" s="788">
        <f>'Courthouse DRAW '!AM36</f>
        <v>0</v>
      </c>
      <c r="AR7" s="788">
        <f>'Courthouse DRAW '!AN36</f>
        <v>0</v>
      </c>
      <c r="AS7" s="788">
        <f>'Courthouse DRAW '!AO36</f>
        <v>0</v>
      </c>
      <c r="AT7" s="788">
        <f>'Courthouse DRAW '!AP36</f>
        <v>0</v>
      </c>
      <c r="AU7" s="788">
        <f>'Courthouse DRAW '!AQ36</f>
        <v>0</v>
      </c>
    </row>
    <row r="8" spans="1:47">
      <c r="A8" s="1180" t="str">
        <f>'Development Program'!B6</f>
        <v>Yesler Hotel</v>
      </c>
      <c r="B8" s="498"/>
      <c r="C8" s="787">
        <f>'Yesler DRAW'!C36</f>
        <v>-11213420</v>
      </c>
      <c r="D8" s="788">
        <f>'Yesler DRAW'!D36</f>
        <v>0</v>
      </c>
      <c r="E8" s="788">
        <f>'Yesler DRAW'!E36</f>
        <v>0</v>
      </c>
      <c r="F8" s="788">
        <f>'Yesler DRAW'!F36</f>
        <v>0</v>
      </c>
      <c r="G8" s="788">
        <f>'Yesler DRAW'!G36</f>
        <v>-2354782.0510000004</v>
      </c>
      <c r="H8" s="788">
        <f>'Yesler DRAW'!H36</f>
        <v>-2354782.0510000004</v>
      </c>
      <c r="I8" s="788">
        <f>'Yesler DRAW'!I36</f>
        <v>-2354782.0510000004</v>
      </c>
      <c r="J8" s="788">
        <f>'Yesler DRAW'!J36</f>
        <v>-2354782.0510000004</v>
      </c>
      <c r="K8" s="788">
        <f>'Yesler DRAW'!K36</f>
        <v>-2809386.0040000044</v>
      </c>
      <c r="L8" s="788">
        <f>'Yesler DRAW'!L36</f>
        <v>0</v>
      </c>
      <c r="M8" s="788">
        <f>'Yesler DRAW'!M36</f>
        <v>0</v>
      </c>
      <c r="N8" s="788">
        <f>'Yesler DRAW'!N36</f>
        <v>0</v>
      </c>
      <c r="O8" s="788">
        <f>'Yesler DRAW'!O36</f>
        <v>0</v>
      </c>
      <c r="P8" s="788">
        <f>'Yesler DRAW'!P36</f>
        <v>0</v>
      </c>
      <c r="Q8" s="788">
        <f>'Yesler DRAW'!Q36</f>
        <v>0</v>
      </c>
      <c r="R8" s="788">
        <f>'Yesler DRAW'!R36</f>
        <v>0</v>
      </c>
      <c r="S8" s="788">
        <f>'Yesler DRAW'!S36</f>
        <v>0</v>
      </c>
      <c r="T8" s="788">
        <f>'Yesler DRAW'!T36</f>
        <v>0</v>
      </c>
      <c r="U8" s="790">
        <f>'Yesler DRAW'!U36</f>
        <v>44791298.688000001</v>
      </c>
      <c r="V8" s="788">
        <v>0</v>
      </c>
      <c r="W8" s="788">
        <v>0</v>
      </c>
      <c r="X8" s="788">
        <v>0</v>
      </c>
      <c r="Y8" s="788">
        <v>0</v>
      </c>
      <c r="Z8" s="788">
        <v>0</v>
      </c>
      <c r="AA8" s="788">
        <v>0</v>
      </c>
      <c r="AB8" s="788">
        <v>0</v>
      </c>
      <c r="AC8" s="788">
        <v>0</v>
      </c>
      <c r="AD8" s="788">
        <v>0</v>
      </c>
      <c r="AE8" s="788">
        <v>0</v>
      </c>
      <c r="AF8" s="788">
        <v>0</v>
      </c>
      <c r="AG8" s="788">
        <v>0</v>
      </c>
      <c r="AH8" s="788">
        <v>0</v>
      </c>
      <c r="AI8" s="788">
        <v>0</v>
      </c>
      <c r="AJ8" s="788">
        <v>0</v>
      </c>
      <c r="AK8" s="788">
        <f>'Yesler DRAW'!AK36</f>
        <v>0</v>
      </c>
      <c r="AL8" s="788">
        <f>'Yesler DRAW'!AL36</f>
        <v>0</v>
      </c>
      <c r="AM8" s="788">
        <f>'Yesler DRAW'!AM36</f>
        <v>0</v>
      </c>
      <c r="AN8" s="788">
        <f>'Yesler DRAW'!AN36</f>
        <v>0</v>
      </c>
      <c r="AO8" s="788">
        <f>'Yesler DRAW'!AO36</f>
        <v>0</v>
      </c>
      <c r="AP8" s="788">
        <f>'Yesler DRAW'!AP36</f>
        <v>0</v>
      </c>
      <c r="AQ8" s="788">
        <f>'Yesler DRAW'!AQ36</f>
        <v>0</v>
      </c>
      <c r="AR8" s="788">
        <f>'Yesler DRAW'!AR36</f>
        <v>0</v>
      </c>
      <c r="AS8" s="788">
        <f>'Yesler DRAW'!AS36</f>
        <v>0</v>
      </c>
      <c r="AT8" s="788">
        <f>'Yesler DRAW'!AT36</f>
        <v>0</v>
      </c>
      <c r="AU8" s="788">
        <f>'Yesler DRAW'!AU36</f>
        <v>0</v>
      </c>
    </row>
    <row r="9" spans="1:47">
      <c r="A9" s="1180" t="str">
        <f>'Development Program'!B7</f>
        <v>Lower Cascade Apts</v>
      </c>
      <c r="B9" s="498"/>
      <c r="C9" s="789">
        <v>0</v>
      </c>
      <c r="D9" s="789">
        <v>0</v>
      </c>
      <c r="E9" s="789">
        <v>0</v>
      </c>
      <c r="F9" s="789">
        <v>0</v>
      </c>
      <c r="G9" s="789">
        <v>0</v>
      </c>
      <c r="H9" s="789">
        <v>0</v>
      </c>
      <c r="I9" s="789">
        <v>0</v>
      </c>
      <c r="J9" s="789">
        <v>0</v>
      </c>
      <c r="K9" s="789">
        <v>0</v>
      </c>
      <c r="L9" s="789">
        <v>0</v>
      </c>
      <c r="M9" s="789">
        <v>0</v>
      </c>
      <c r="N9" s="789">
        <v>0</v>
      </c>
      <c r="O9" s="789">
        <v>0</v>
      </c>
      <c r="P9" s="789">
        <v>0</v>
      </c>
      <c r="Q9" s="789">
        <v>0</v>
      </c>
      <c r="R9" s="789">
        <v>0</v>
      </c>
      <c r="S9" s="787">
        <f>'Lower Cascade Draw '!C37</f>
        <v>-54125473</v>
      </c>
      <c r="T9" s="789">
        <f>'Lower Cascade Draw '!D37</f>
        <v>0</v>
      </c>
      <c r="U9" s="789">
        <f>'Lower Cascade Draw '!E37</f>
        <v>-10317906.208000002</v>
      </c>
      <c r="V9" s="789">
        <f>'Lower Cascade Draw '!F37</f>
        <v>-10317906.208000002</v>
      </c>
      <c r="W9" s="789">
        <f>'Lower Cascade Draw '!G37</f>
        <v>-10317906.208000002</v>
      </c>
      <c r="X9" s="789">
        <f>'Lower Cascade Draw '!H37</f>
        <v>-20635812.416000005</v>
      </c>
      <c r="Y9" s="789">
        <f>'Lower Cascade Draw '!I37</f>
        <v>-258308.74399998784</v>
      </c>
      <c r="Z9" s="789">
        <f>'Lower Cascade Draw '!J37</f>
        <v>0</v>
      </c>
      <c r="AA9" s="789">
        <f>'Lower Cascade Draw '!K37</f>
        <v>0</v>
      </c>
      <c r="AB9" s="789">
        <f>'Lower Cascade Draw '!L37</f>
        <v>0</v>
      </c>
      <c r="AC9" s="789">
        <f>'Lower Cascade Draw '!M37</f>
        <v>0</v>
      </c>
      <c r="AD9" s="789">
        <f>'Lower Cascade Draw '!N37</f>
        <v>0</v>
      </c>
      <c r="AE9" s="789">
        <f>'Lower Cascade Draw '!O37</f>
        <v>0</v>
      </c>
      <c r="AF9" s="789">
        <f>'Lower Cascade Draw '!P37</f>
        <v>0</v>
      </c>
      <c r="AG9" s="789">
        <f>'Lower Cascade Draw '!Q37</f>
        <v>0</v>
      </c>
      <c r="AH9" s="790">
        <f>'Lower Cascade Draw '!R37</f>
        <v>156641930.824</v>
      </c>
      <c r="AI9" s="789">
        <f>'Lower Cascade Draw '!S37</f>
        <v>0</v>
      </c>
      <c r="AJ9" s="789">
        <f>'Lower Cascade Draw '!T37</f>
        <v>0</v>
      </c>
      <c r="AK9" s="789">
        <f>'Lower Cascade Draw '!U37</f>
        <v>0</v>
      </c>
      <c r="AL9" s="789">
        <f>'Lower Cascade Draw '!V37</f>
        <v>0</v>
      </c>
      <c r="AM9" s="789">
        <f>'Lower Cascade Draw '!W37</f>
        <v>0</v>
      </c>
      <c r="AN9" s="789">
        <v>0</v>
      </c>
      <c r="AO9" s="789">
        <f>'Lower Cascade Draw '!Y37</f>
        <v>0</v>
      </c>
      <c r="AP9" s="789">
        <f>'Lower Cascade Draw '!Z37</f>
        <v>0</v>
      </c>
      <c r="AQ9" s="789">
        <f>'Lower Cascade Draw '!AA37</f>
        <v>0</v>
      </c>
      <c r="AR9" s="789">
        <f>'Lower Cascade Draw '!AB37</f>
        <v>0</v>
      </c>
      <c r="AS9" s="789">
        <f>'Lower Cascade Draw '!AC37</f>
        <v>0</v>
      </c>
      <c r="AT9" s="789">
        <f>'Lower Cascade Draw '!AD37</f>
        <v>0</v>
      </c>
      <c r="AU9" s="789">
        <f>'Lower Cascade Draw '!AE37</f>
        <v>0</v>
      </c>
    </row>
    <row r="10" spans="1:47">
      <c r="A10" s="1180" t="str">
        <f>'Development Program'!B8</f>
        <v>4th Street Site</v>
      </c>
      <c r="B10" s="498"/>
      <c r="C10" s="789">
        <v>0</v>
      </c>
      <c r="D10" s="789">
        <v>0</v>
      </c>
      <c r="E10" s="789">
        <v>0</v>
      </c>
      <c r="F10" s="789">
        <v>0</v>
      </c>
      <c r="G10" s="789">
        <v>0</v>
      </c>
      <c r="H10" s="789">
        <v>0</v>
      </c>
      <c r="I10" s="789">
        <v>0</v>
      </c>
      <c r="J10" s="789">
        <v>0</v>
      </c>
      <c r="K10" s="789">
        <v>0</v>
      </c>
      <c r="L10" s="789">
        <v>0</v>
      </c>
      <c r="M10" s="789">
        <v>0</v>
      </c>
      <c r="N10" s="789">
        <v>0</v>
      </c>
      <c r="O10" s="789">
        <v>0</v>
      </c>
      <c r="P10" s="789">
        <v>0</v>
      </c>
      <c r="Q10" s="789">
        <v>0</v>
      </c>
      <c r="R10" s="789">
        <v>0</v>
      </c>
      <c r="S10" s="787">
        <f>'4th Street Draw'!C41</f>
        <v>-21089484.539999999</v>
      </c>
      <c r="T10" s="789">
        <f>'4th Street Draw'!D41</f>
        <v>0</v>
      </c>
      <c r="U10" s="789">
        <f>'4th Street Draw'!E41</f>
        <v>-2177476.4169999999</v>
      </c>
      <c r="V10" s="789">
        <f>'4th Street Draw'!F41</f>
        <v>-2177476.4169999999</v>
      </c>
      <c r="W10" s="789">
        <f>'4th Street Draw'!G41</f>
        <v>-2177476.4169999999</v>
      </c>
      <c r="X10" s="789">
        <f>'4th Street Draw'!H41</f>
        <v>-4354952.8339999998</v>
      </c>
      <c r="Y10" s="789">
        <f>'4th Street Draw'!I41</f>
        <v>-342639.81500000134</v>
      </c>
      <c r="Z10" s="789">
        <f>'4th Street Draw'!J41</f>
        <v>0</v>
      </c>
      <c r="AA10" s="789">
        <f>'4th Street Draw'!K41</f>
        <v>0</v>
      </c>
      <c r="AB10" s="789">
        <f>'4th Street Draw'!L41</f>
        <v>0</v>
      </c>
      <c r="AC10" s="789">
        <f>'4th Street Draw'!M41</f>
        <v>0</v>
      </c>
      <c r="AD10" s="789">
        <f>'4th Street Draw'!N41</f>
        <v>0</v>
      </c>
      <c r="AE10" s="790">
        <f>'4th Street Draw'!O41</f>
        <v>42276822.654736832</v>
      </c>
      <c r="AF10" s="789">
        <f>'4th Street Draw'!P41</f>
        <v>0</v>
      </c>
      <c r="AG10" s="789">
        <f>'4th Street Draw'!Q41</f>
        <v>0</v>
      </c>
      <c r="AH10" s="789">
        <f>'4th Street Draw'!R41</f>
        <v>0</v>
      </c>
      <c r="AI10" s="789">
        <f>'4th Street Draw'!S41</f>
        <v>0</v>
      </c>
      <c r="AJ10" s="789">
        <f>'4th Street Draw'!T41</f>
        <v>0</v>
      </c>
      <c r="AK10" s="789">
        <f>'4th Street Draw'!U41</f>
        <v>0</v>
      </c>
      <c r="AL10" s="789">
        <f>'4th Street Draw'!V41</f>
        <v>0</v>
      </c>
      <c r="AM10" s="789">
        <f>'4th Street Draw'!W41</f>
        <v>0</v>
      </c>
      <c r="AN10" s="789">
        <f>'4th Street Draw'!X41</f>
        <v>0</v>
      </c>
      <c r="AO10" s="789">
        <f>'4th Street Draw'!Y41</f>
        <v>0</v>
      </c>
      <c r="AP10" s="789">
        <f>'4th Street Draw'!Z41</f>
        <v>0</v>
      </c>
      <c r="AQ10" s="789">
        <f>'4th Street Draw'!AA41</f>
        <v>0</v>
      </c>
      <c r="AR10" s="789">
        <f>'4th Street Draw'!AB41</f>
        <v>0</v>
      </c>
      <c r="AS10" s="789">
        <f>'4th Street Draw'!AC41</f>
        <v>0</v>
      </c>
      <c r="AT10" s="789">
        <f>'4th Street Draw'!AD41</f>
        <v>0</v>
      </c>
      <c r="AU10" s="789">
        <f>'4th Street Draw'!AE41</f>
        <v>0</v>
      </c>
    </row>
    <row r="11" spans="1:47">
      <c r="A11" s="1180" t="str">
        <f>'Development Program'!B9</f>
        <v>Chinook Condos</v>
      </c>
      <c r="B11" s="498"/>
      <c r="C11" s="789">
        <v>0</v>
      </c>
      <c r="D11" s="789">
        <v>0</v>
      </c>
      <c r="E11" s="789">
        <v>0</v>
      </c>
      <c r="F11" s="789">
        <v>0</v>
      </c>
      <c r="G11" s="789">
        <v>0</v>
      </c>
      <c r="H11" s="789">
        <v>0</v>
      </c>
      <c r="I11" s="789">
        <v>0</v>
      </c>
      <c r="J11" s="789">
        <v>0</v>
      </c>
      <c r="K11" s="789">
        <v>0</v>
      </c>
      <c r="L11" s="789">
        <v>0</v>
      </c>
      <c r="M11" s="789">
        <v>0</v>
      </c>
      <c r="N11" s="789">
        <v>0</v>
      </c>
      <c r="O11" s="789">
        <v>0</v>
      </c>
      <c r="P11" s="789">
        <v>0</v>
      </c>
      <c r="Q11" s="789">
        <v>0</v>
      </c>
      <c r="R11" s="789">
        <v>0</v>
      </c>
      <c r="S11" s="787">
        <f>'Chinook Draw'!C37</f>
        <v>-74971260</v>
      </c>
      <c r="T11" s="789">
        <f>'Chinook Draw'!D37</f>
        <v>-5048399.0770988008</v>
      </c>
      <c r="U11" s="789">
        <f>'Chinook Draw'!E37</f>
        <v>-8487201.6938891858</v>
      </c>
      <c r="V11" s="789">
        <f>'Chinook Draw'!F37</f>
        <v>0</v>
      </c>
      <c r="W11" s="789">
        <f>'Chinook Draw'!G37</f>
        <v>0</v>
      </c>
      <c r="X11" s="789">
        <f>'Chinook Draw'!H37</f>
        <v>0</v>
      </c>
      <c r="Y11" s="789">
        <f>'Chinook Draw'!I37</f>
        <v>0</v>
      </c>
      <c r="Z11" s="789">
        <f>'Chinook Draw'!J37</f>
        <v>0</v>
      </c>
      <c r="AA11" s="789">
        <f>'Chinook Draw'!K37</f>
        <v>0</v>
      </c>
      <c r="AB11" s="790">
        <f>'Chinook Draw'!L37</f>
        <v>178066339.22901201</v>
      </c>
      <c r="AC11" s="789">
        <f>'Chinook Draw'!M37</f>
        <v>0</v>
      </c>
      <c r="AD11" s="789">
        <f>'Chinook Draw'!N37</f>
        <v>0</v>
      </c>
      <c r="AE11" s="789">
        <f>'Chinook Draw'!O37</f>
        <v>0</v>
      </c>
      <c r="AF11" s="789">
        <f>'Chinook Draw'!P37</f>
        <v>0</v>
      </c>
      <c r="AG11" s="789">
        <f>'Chinook Draw'!Q37</f>
        <v>0</v>
      </c>
      <c r="AH11" s="789">
        <f>'Chinook Draw'!R37</f>
        <v>0</v>
      </c>
      <c r="AI11" s="789">
        <f>'Chinook Draw'!S37</f>
        <v>0</v>
      </c>
      <c r="AJ11" s="789">
        <f>'Chinook Draw'!T37</f>
        <v>0</v>
      </c>
      <c r="AK11" s="789">
        <f>'Chinook Draw'!U37</f>
        <v>0</v>
      </c>
      <c r="AL11" s="789">
        <f>'Chinook Draw'!V37</f>
        <v>0</v>
      </c>
      <c r="AM11" s="789">
        <f>'Chinook Draw'!W37</f>
        <v>0</v>
      </c>
      <c r="AN11" s="789">
        <f>'Chinook Draw'!X37</f>
        <v>0</v>
      </c>
      <c r="AO11" s="789">
        <f>'Chinook Draw'!Y37</f>
        <v>0</v>
      </c>
      <c r="AP11" s="789">
        <f>'Chinook Draw'!Z37</f>
        <v>0</v>
      </c>
      <c r="AQ11" s="789">
        <f>'Chinook Draw'!AA37</f>
        <v>0</v>
      </c>
      <c r="AR11" s="789">
        <f>'Chinook Draw'!AB37</f>
        <v>0</v>
      </c>
      <c r="AS11" s="789">
        <f>'Chinook Draw'!AC37</f>
        <v>0</v>
      </c>
      <c r="AT11" s="789">
        <f>'Chinook Draw'!AD37</f>
        <v>0</v>
      </c>
      <c r="AU11" s="789">
        <f>'Chinook Draw'!AE37</f>
        <v>0</v>
      </c>
    </row>
    <row r="12" spans="1:47">
      <c r="A12" s="1180" t="str">
        <f>'Development Program'!B10</f>
        <v>Rainier Tower Apts</v>
      </c>
      <c r="B12" s="498"/>
      <c r="C12" s="789">
        <v>0</v>
      </c>
      <c r="D12" s="789">
        <v>0</v>
      </c>
      <c r="E12" s="789">
        <v>0</v>
      </c>
      <c r="F12" s="789">
        <v>0</v>
      </c>
      <c r="G12" s="789">
        <v>0</v>
      </c>
      <c r="H12" s="789">
        <v>0</v>
      </c>
      <c r="I12" s="789">
        <v>0</v>
      </c>
      <c r="J12" s="789">
        <v>0</v>
      </c>
      <c r="K12" s="789">
        <v>0</v>
      </c>
      <c r="L12" s="789">
        <v>0</v>
      </c>
      <c r="M12" s="789">
        <v>0</v>
      </c>
      <c r="N12" s="789">
        <v>0</v>
      </c>
      <c r="O12" s="789">
        <v>0</v>
      </c>
      <c r="P12" s="789">
        <v>0</v>
      </c>
      <c r="Q12" s="789">
        <v>0</v>
      </c>
      <c r="R12" s="789">
        <v>0</v>
      </c>
      <c r="S12" s="789">
        <v>0</v>
      </c>
      <c r="T12" s="789">
        <v>0</v>
      </c>
      <c r="U12" s="789">
        <v>0</v>
      </c>
      <c r="V12" s="789">
        <v>0</v>
      </c>
      <c r="W12" s="789">
        <v>0</v>
      </c>
      <c r="X12" s="789">
        <v>0</v>
      </c>
      <c r="Y12" s="789">
        <v>0</v>
      </c>
      <c r="Z12" s="789">
        <v>0</v>
      </c>
      <c r="AA12" s="789">
        <v>0</v>
      </c>
      <c r="AB12" s="789">
        <v>0</v>
      </c>
      <c r="AC12" s="789">
        <v>0</v>
      </c>
      <c r="AD12" s="789">
        <v>0</v>
      </c>
      <c r="AE12" s="1175">
        <f>'Rainier Tower Draw'!C37</f>
        <v>-58494986.5</v>
      </c>
      <c r="AF12" s="788">
        <f>'Rainier Tower Draw'!D37</f>
        <v>0</v>
      </c>
      <c r="AG12" s="788">
        <f>'Rainier Tower Draw'!E37</f>
        <v>0</v>
      </c>
      <c r="AH12" s="788">
        <f>'Rainier Tower Draw'!F37</f>
        <v>0</v>
      </c>
      <c r="AI12" s="788">
        <f>'Rainier Tower Draw'!G37</f>
        <v>0</v>
      </c>
      <c r="AJ12" s="788">
        <f>'Rainier Tower Draw'!H37</f>
        <v>0</v>
      </c>
      <c r="AK12" s="788">
        <f>'Rainier Tower Draw'!I37</f>
        <v>-10244868.154704001</v>
      </c>
      <c r="AL12" s="788">
        <f>'Rainier Tower Draw'!J37</f>
        <v>-10244868.154704001</v>
      </c>
      <c r="AM12" s="788">
        <f>'Rainier Tower Draw'!K37</f>
        <v>-10244868.154704001</v>
      </c>
      <c r="AN12" s="788">
        <f>'Rainier Tower Draw'!L37</f>
        <v>-10244868.154704001</v>
      </c>
      <c r="AO12" s="788">
        <f>'Rainier Tower Draw'!M37</f>
        <v>-5882480.7188159823</v>
      </c>
      <c r="AP12" s="788">
        <f>'Rainier Tower Draw'!N37</f>
        <v>0</v>
      </c>
      <c r="AQ12" s="788">
        <f>'Rainier Tower Draw'!O37</f>
        <v>0</v>
      </c>
      <c r="AR12" s="788">
        <f>'Rainier Tower Draw'!P37</f>
        <v>0</v>
      </c>
      <c r="AS12" s="788">
        <f>'Rainier Tower Draw'!Q37</f>
        <v>0</v>
      </c>
      <c r="AT12" s="790">
        <f>'Rainier Tower Draw'!R37</f>
        <v>169917490.243552</v>
      </c>
      <c r="AU12" s="788">
        <f>'Rainier Tower Draw'!S37</f>
        <v>0</v>
      </c>
    </row>
    <row r="13" spans="1:47" ht="15.75" thickBot="1">
      <c r="A13" s="1181" t="str">
        <f>'Development Program'!B11</f>
        <v>Upper Cascade Apts</v>
      </c>
      <c r="B13" s="498"/>
      <c r="C13" s="789">
        <v>0</v>
      </c>
      <c r="D13" s="789">
        <v>0</v>
      </c>
      <c r="E13" s="789">
        <v>0</v>
      </c>
      <c r="F13" s="789">
        <v>0</v>
      </c>
      <c r="G13" s="789">
        <v>0</v>
      </c>
      <c r="H13" s="789">
        <v>0</v>
      </c>
      <c r="I13" s="789">
        <v>0</v>
      </c>
      <c r="J13" s="789">
        <v>0</v>
      </c>
      <c r="K13" s="789">
        <v>0</v>
      </c>
      <c r="L13" s="789">
        <v>0</v>
      </c>
      <c r="M13" s="789">
        <v>0</v>
      </c>
      <c r="N13" s="789">
        <v>0</v>
      </c>
      <c r="O13" s="789">
        <v>0</v>
      </c>
      <c r="P13" s="789">
        <v>0</v>
      </c>
      <c r="Q13" s="789">
        <v>0</v>
      </c>
      <c r="R13" s="789">
        <v>0</v>
      </c>
      <c r="S13" s="789">
        <v>0</v>
      </c>
      <c r="T13" s="789">
        <v>0</v>
      </c>
      <c r="U13" s="789">
        <v>0</v>
      </c>
      <c r="V13" s="789">
        <v>0</v>
      </c>
      <c r="W13" s="1175">
        <f>'Upper Cascade Draw '!C37</f>
        <v>-70201285</v>
      </c>
      <c r="X13" s="788">
        <f>'Upper Cascade Draw '!D37</f>
        <v>0</v>
      </c>
      <c r="Y13" s="788">
        <f>'Upper Cascade Draw '!E37</f>
        <v>0</v>
      </c>
      <c r="Z13" s="788">
        <f>'Upper Cascade Draw '!F37</f>
        <v>0</v>
      </c>
      <c r="AA13" s="788">
        <f>'Upper Cascade Draw '!G37</f>
        <v>0</v>
      </c>
      <c r="AB13" s="788">
        <f>'Upper Cascade Draw '!H37</f>
        <v>0</v>
      </c>
      <c r="AC13" s="788">
        <f>'Upper Cascade Draw '!I37</f>
        <v>-8293805.3491900004</v>
      </c>
      <c r="AD13" s="788">
        <f>'Upper Cascade Draw '!J37</f>
        <v>-8293805.3491900004</v>
      </c>
      <c r="AE13" s="788">
        <f>'Upper Cascade Draw '!K37</f>
        <v>-7642061.095140025</v>
      </c>
      <c r="AF13" s="788">
        <f>'Upper Cascade Draw '!L37</f>
        <v>0</v>
      </c>
      <c r="AG13" s="788">
        <f>'Upper Cascade Draw '!M37</f>
        <v>0</v>
      </c>
      <c r="AH13" s="788">
        <f>'Upper Cascade Draw '!N37</f>
        <v>0</v>
      </c>
      <c r="AI13" s="788">
        <f>'Upper Cascade Draw '!O37</f>
        <v>0</v>
      </c>
      <c r="AJ13" s="788">
        <f>'Upper Cascade Draw '!P37</f>
        <v>0</v>
      </c>
      <c r="AK13" s="788">
        <f>'Upper Cascade Draw '!Q37</f>
        <v>0</v>
      </c>
      <c r="AL13" s="788">
        <f>'Upper Cascade Draw '!R37</f>
        <v>0</v>
      </c>
      <c r="AM13" s="788">
        <f>'Upper Cascade Draw '!S37</f>
        <v>0</v>
      </c>
      <c r="AN13" s="788">
        <f>'Upper Cascade Draw '!T37</f>
        <v>0</v>
      </c>
      <c r="AO13" s="788">
        <f>'Upper Cascade Draw '!U37</f>
        <v>0</v>
      </c>
      <c r="AP13" s="790">
        <f>'Upper Cascade Draw '!V37</f>
        <v>150840664.80971998</v>
      </c>
      <c r="AQ13" s="788">
        <f>'Upper Cascade Draw '!W37</f>
        <v>0</v>
      </c>
      <c r="AR13" s="788">
        <f>'Upper Cascade Draw '!X37</f>
        <v>0</v>
      </c>
      <c r="AS13" s="788">
        <f>'Upper Cascade Draw '!Y37</f>
        <v>0</v>
      </c>
      <c r="AT13" s="788">
        <f>'Upper Cascade Draw '!Z37</f>
        <v>0</v>
      </c>
      <c r="AU13" s="788">
        <f>'Upper Cascade Draw '!AA37</f>
        <v>0</v>
      </c>
    </row>
    <row r="14" spans="1:47" ht="6.75" customHeight="1">
      <c r="A14" s="1169"/>
      <c r="B14" s="1182"/>
      <c r="C14" s="1183"/>
      <c r="D14" s="1183"/>
      <c r="E14" s="1183"/>
      <c r="F14" s="1183"/>
      <c r="G14" s="1183"/>
      <c r="H14" s="1183"/>
      <c r="I14" s="1183"/>
      <c r="J14" s="1183"/>
      <c r="K14" s="1183"/>
      <c r="L14" s="1183"/>
      <c r="M14" s="1183"/>
      <c r="N14" s="1183"/>
      <c r="O14" s="1183"/>
      <c r="P14" s="1183"/>
      <c r="Q14" s="1183"/>
      <c r="R14" s="1183"/>
      <c r="S14" s="1183"/>
      <c r="T14" s="1183"/>
      <c r="U14" s="1183"/>
      <c r="V14" s="1183"/>
      <c r="W14" s="1183"/>
      <c r="X14" s="1183"/>
      <c r="Y14" s="1183"/>
      <c r="Z14" s="1183"/>
      <c r="AA14" s="1183"/>
      <c r="AB14" s="1183"/>
      <c r="AC14" s="1183"/>
      <c r="AD14" s="1183"/>
      <c r="AE14" s="1183"/>
      <c r="AF14" s="1183"/>
      <c r="AG14" s="1183"/>
      <c r="AH14" s="1183"/>
      <c r="AI14" s="1183"/>
      <c r="AJ14" s="1183"/>
      <c r="AK14" s="1183"/>
      <c r="AL14" s="1183"/>
      <c r="AM14" s="1183"/>
      <c r="AN14" s="1183"/>
      <c r="AO14" s="1183"/>
      <c r="AP14" s="1183"/>
      <c r="AQ14" s="1183"/>
      <c r="AR14" s="1183"/>
      <c r="AS14" s="1183"/>
      <c r="AT14" s="1183"/>
      <c r="AU14" s="1184"/>
    </row>
    <row r="15" spans="1:47">
      <c r="A15" s="1170" t="s">
        <v>321</v>
      </c>
      <c r="B15" s="1171">
        <f>SUM(C15:AT15)</f>
        <v>497985321.7502408</v>
      </c>
      <c r="C15" s="387">
        <f>SUM(C18:C24)</f>
        <v>-11213420</v>
      </c>
      <c r="D15" s="387">
        <f t="shared" ref="D15:AT15" si="2">SUM(D18:D24)</f>
        <v>0</v>
      </c>
      <c r="E15" s="387">
        <f t="shared" si="2"/>
        <v>0</v>
      </c>
      <c r="F15" s="387">
        <f t="shared" si="2"/>
        <v>0</v>
      </c>
      <c r="G15" s="387">
        <f t="shared" si="2"/>
        <v>-61638504.151000001</v>
      </c>
      <c r="H15" s="387">
        <f t="shared" si="2"/>
        <v>-2354782.0510000004</v>
      </c>
      <c r="I15" s="387">
        <f t="shared" si="2"/>
        <v>-2354782.0510000004</v>
      </c>
      <c r="J15" s="387">
        <f t="shared" si="2"/>
        <v>-10417488.604232</v>
      </c>
      <c r="K15" s="387">
        <f t="shared" si="2"/>
        <v>-13714183.475631999</v>
      </c>
      <c r="L15" s="387">
        <f t="shared" si="2"/>
        <v>-13714183.475631999</v>
      </c>
      <c r="M15" s="387">
        <f t="shared" si="2"/>
        <v>-13714183.475631999</v>
      </c>
      <c r="N15" s="387">
        <f t="shared" si="2"/>
        <v>-25001972.650156796</v>
      </c>
      <c r="O15" s="387">
        <f t="shared" si="2"/>
        <v>-24060059.829756796</v>
      </c>
      <c r="P15" s="387">
        <f t="shared" si="2"/>
        <v>-22647190.599156797</v>
      </c>
      <c r="Q15" s="387">
        <f t="shared" si="2"/>
        <v>-21705277.778756794</v>
      </c>
      <c r="R15" s="387">
        <f t="shared" si="2"/>
        <v>-21705277.778756794</v>
      </c>
      <c r="S15" s="387">
        <f t="shared" si="2"/>
        <v>-160603706.144232</v>
      </c>
      <c r="T15" s="387">
        <f t="shared" si="2"/>
        <v>-13111105.630330801</v>
      </c>
      <c r="U15" s="387">
        <f t="shared" si="2"/>
        <v>44250913.590471596</v>
      </c>
      <c r="V15" s="387">
        <f t="shared" si="2"/>
        <v>-35703286.409528404</v>
      </c>
      <c r="W15" s="387">
        <f t="shared" si="2"/>
        <v>-97841864.856296405</v>
      </c>
      <c r="X15" s="387">
        <f t="shared" si="2"/>
        <v>-35087563.404197603</v>
      </c>
      <c r="Y15" s="387">
        <f t="shared" si="2"/>
        <v>-35087563.404197603</v>
      </c>
      <c r="Z15" s="387">
        <f t="shared" si="2"/>
        <v>326637084.68470359</v>
      </c>
      <c r="AA15" s="387">
        <f t="shared" si="2"/>
        <v>-42313438.898296408</v>
      </c>
      <c r="AB15" s="387">
        <f t="shared" si="2"/>
        <v>241582434.75</v>
      </c>
      <c r="AC15" s="387">
        <f t="shared" si="2"/>
        <v>-33284570.599190004</v>
      </c>
      <c r="AD15" s="387">
        <f t="shared" si="2"/>
        <v>-33284570.599190004</v>
      </c>
      <c r="AE15" s="387">
        <f t="shared" si="2"/>
        <v>-14035275.17045318</v>
      </c>
      <c r="AF15" s="387">
        <f t="shared" si="2"/>
        <v>-18611711.557190001</v>
      </c>
      <c r="AG15" s="387">
        <f t="shared" si="2"/>
        <v>-19905132.838055998</v>
      </c>
      <c r="AH15" s="387">
        <f t="shared" si="2"/>
        <v>278488767.16194403</v>
      </c>
      <c r="AI15" s="387">
        <f t="shared" si="2"/>
        <v>-19905132.838055998</v>
      </c>
      <c r="AJ15" s="387">
        <f t="shared" si="2"/>
        <v>60049067.161944002</v>
      </c>
      <c r="AK15" s="387">
        <f t="shared" si="2"/>
        <v>-30150000.992759999</v>
      </c>
      <c r="AL15" s="387">
        <f t="shared" si="2"/>
        <v>-30150000.992759999</v>
      </c>
      <c r="AM15" s="387">
        <f t="shared" si="2"/>
        <v>-18538673.503894001</v>
      </c>
      <c r="AN15" s="387">
        <f t="shared" si="2"/>
        <v>-15221151.364218</v>
      </c>
      <c r="AO15" s="387">
        <f t="shared" si="2"/>
        <v>-40979472.618816003</v>
      </c>
      <c r="AP15" s="387">
        <f t="shared" si="2"/>
        <v>245011627.38118398</v>
      </c>
      <c r="AQ15" s="387">
        <f t="shared" si="2"/>
        <v>-40979472.618816003</v>
      </c>
      <c r="AR15" s="387">
        <f t="shared" si="2"/>
        <v>-40979472.618816003</v>
      </c>
      <c r="AS15" s="387">
        <f t="shared" si="2"/>
        <v>0</v>
      </c>
      <c r="AT15" s="387">
        <f t="shared" si="2"/>
        <v>321979900</v>
      </c>
      <c r="AU15" s="387"/>
    </row>
    <row r="16" spans="1:47">
      <c r="A16" s="1170" t="s">
        <v>322</v>
      </c>
      <c r="B16" s="1172">
        <f>IF(B15&lt;0,0,IRR(C15:AT15))</f>
        <v>3.7360816688934984E-2</v>
      </c>
      <c r="C16" s="408"/>
      <c r="D16" s="414"/>
      <c r="E16" s="414"/>
      <c r="F16" s="414"/>
      <c r="G16" s="414"/>
      <c r="H16" s="414"/>
      <c r="I16" s="414"/>
      <c r="J16" s="414"/>
      <c r="K16" s="414"/>
      <c r="L16" s="414"/>
      <c r="M16" s="408"/>
      <c r="N16" s="414"/>
      <c r="O16" s="414"/>
      <c r="P16" s="414"/>
      <c r="Q16" s="414"/>
      <c r="R16" s="414"/>
      <c r="S16" s="408"/>
      <c r="T16" s="414"/>
      <c r="U16" s="414"/>
      <c r="V16" s="414"/>
      <c r="W16" s="414"/>
      <c r="X16" s="414"/>
      <c r="Y16" s="414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</row>
    <row r="17" spans="1:47">
      <c r="A17" s="1170" t="s">
        <v>277</v>
      </c>
      <c r="B17" s="1173">
        <f>POWER((1+B16),4)-1</f>
        <v>0.15802879632909295</v>
      </c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08"/>
      <c r="N17" s="414"/>
      <c r="O17" s="414"/>
      <c r="P17" s="414"/>
      <c r="Q17" s="414"/>
      <c r="R17" s="414"/>
      <c r="S17" s="408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414"/>
      <c r="AP17" s="414"/>
      <c r="AQ17" s="414"/>
      <c r="AR17" s="414"/>
      <c r="AS17" s="414"/>
      <c r="AT17" s="414"/>
      <c r="AU17" s="414"/>
    </row>
    <row r="18" spans="1:47">
      <c r="A18" s="1174" t="str">
        <f>A7</f>
        <v>Courthouse Condos</v>
      </c>
      <c r="B18" s="394"/>
      <c r="C18" s="788"/>
      <c r="D18" s="788"/>
      <c r="E18" s="788"/>
      <c r="F18" s="788"/>
      <c r="G18" s="787">
        <f>'Courthouse DRAW '!C41</f>
        <v>-59283722.100000001</v>
      </c>
      <c r="H18" s="788">
        <f>'Courthouse DRAW '!D41</f>
        <v>0</v>
      </c>
      <c r="I18" s="788">
        <f>'Courthouse DRAW '!E41</f>
        <v>0</v>
      </c>
      <c r="J18" s="788">
        <f>'Courthouse DRAW '!F41</f>
        <v>-8062706.5532319993</v>
      </c>
      <c r="K18" s="788">
        <f>'Courthouse DRAW '!G41</f>
        <v>-8062706.5532319993</v>
      </c>
      <c r="L18" s="788">
        <f>'Courthouse DRAW '!H41</f>
        <v>-8062706.5532319993</v>
      </c>
      <c r="M18" s="788">
        <f>'Courthouse DRAW '!I41</f>
        <v>-8062706.5532319993</v>
      </c>
      <c r="N18" s="788">
        <f>'Courthouse DRAW '!J41</f>
        <v>-19350495.727756795</v>
      </c>
      <c r="O18" s="788">
        <f>'Courthouse DRAW '!K41</f>
        <v>-19350495.727756795</v>
      </c>
      <c r="P18" s="788">
        <f>'Courthouse DRAW '!L41</f>
        <v>-19350495.727756795</v>
      </c>
      <c r="Q18" s="788">
        <f>'Courthouse DRAW '!M41</f>
        <v>-19350495.727756795</v>
      </c>
      <c r="R18" s="788">
        <f>'Courthouse DRAW '!N41</f>
        <v>-19350495.727756795</v>
      </c>
      <c r="S18" s="788">
        <f>'Courthouse DRAW '!O41</f>
        <v>-8062706.5532319993</v>
      </c>
      <c r="T18" s="788">
        <f>'Courthouse DRAW '!P41</f>
        <v>-8062706.5532319993</v>
      </c>
      <c r="U18" s="788">
        <f>'Courthouse DRAW '!Q41</f>
        <v>-8062706.5532319993</v>
      </c>
      <c r="V18" s="788">
        <f>'Courthouse DRAW '!R41</f>
        <v>-8062706.5532319993</v>
      </c>
      <c r="W18" s="788">
        <f>'Courthouse DRAW '!S41</f>
        <v>0</v>
      </c>
      <c r="X18" s="788">
        <f>'Courthouse DRAW '!T41</f>
        <v>0</v>
      </c>
      <c r="Y18" s="788">
        <f>'Courthouse DRAW '!U41</f>
        <v>0</v>
      </c>
      <c r="Z18" s="790">
        <f>'Courthouse DRAW '!V41</f>
        <v>371128000</v>
      </c>
      <c r="AA18" s="788">
        <f>'Courthouse DRAW '!W41</f>
        <v>0</v>
      </c>
      <c r="AB18" s="788">
        <f>'Courthouse DRAW '!X41</f>
        <v>0</v>
      </c>
      <c r="AC18" s="788">
        <f>'Courthouse DRAW '!Y41</f>
        <v>0</v>
      </c>
      <c r="AD18" s="788">
        <f>'Courthouse DRAW '!Z41</f>
        <v>0</v>
      </c>
      <c r="AE18" s="788">
        <f>'Courthouse DRAW '!AA41</f>
        <v>0</v>
      </c>
      <c r="AF18" s="788">
        <f>'Courthouse DRAW '!AB41</f>
        <v>0</v>
      </c>
      <c r="AG18" s="788">
        <f>'Courthouse DRAW '!AC41</f>
        <v>0</v>
      </c>
      <c r="AH18" s="788">
        <f>'Courthouse DRAW '!AD41</f>
        <v>0</v>
      </c>
      <c r="AI18" s="788">
        <f>'Courthouse DRAW '!AE41</f>
        <v>0</v>
      </c>
      <c r="AJ18" s="788">
        <f>'Courthouse DRAW '!AF41</f>
        <v>0</v>
      </c>
      <c r="AK18" s="788">
        <f>'Courthouse DRAW '!AG41</f>
        <v>0</v>
      </c>
      <c r="AL18" s="788">
        <f>'Courthouse DRAW '!AH41</f>
        <v>0</v>
      </c>
      <c r="AM18" s="788">
        <f>'Courthouse DRAW '!AI41</f>
        <v>0</v>
      </c>
      <c r="AN18" s="788">
        <f>'Courthouse DRAW '!AJ41</f>
        <v>0</v>
      </c>
      <c r="AO18" s="788">
        <f>'Courthouse DRAW '!AK41</f>
        <v>0</v>
      </c>
      <c r="AP18" s="788">
        <f>'Courthouse DRAW '!AL41</f>
        <v>0</v>
      </c>
      <c r="AQ18" s="788">
        <f>'Courthouse DRAW '!AM41</f>
        <v>0</v>
      </c>
      <c r="AR18" s="788">
        <f>'Courthouse DRAW '!AN41</f>
        <v>0</v>
      </c>
      <c r="AS18" s="788">
        <f>'Courthouse DRAW '!AO41</f>
        <v>0</v>
      </c>
      <c r="AT18" s="788">
        <f>'Courthouse DRAW '!AP41</f>
        <v>0</v>
      </c>
      <c r="AU18" s="788">
        <f>'Courthouse DRAW '!AQ41</f>
        <v>0</v>
      </c>
    </row>
    <row r="19" spans="1:47">
      <c r="A19" s="1174" t="str">
        <f t="shared" ref="A19:A24" si="3">A8</f>
        <v>Yesler Hotel</v>
      </c>
      <c r="B19" s="394"/>
      <c r="C19" s="787">
        <f>'Yesler DRAW'!C41</f>
        <v>-11213420</v>
      </c>
      <c r="D19" s="788">
        <f>'Yesler DRAW'!D41</f>
        <v>0</v>
      </c>
      <c r="E19" s="788">
        <f>'Yesler DRAW'!E41</f>
        <v>0</v>
      </c>
      <c r="F19" s="788">
        <f>'Yesler DRAW'!F41</f>
        <v>0</v>
      </c>
      <c r="G19" s="788">
        <f>'Yesler DRAW'!G41</f>
        <v>-2354782.0510000004</v>
      </c>
      <c r="H19" s="788">
        <f>'Yesler DRAW'!H41</f>
        <v>-2354782.0510000004</v>
      </c>
      <c r="I19" s="788">
        <f>'Yesler DRAW'!I41</f>
        <v>-2354782.0510000004</v>
      </c>
      <c r="J19" s="788">
        <f>'Yesler DRAW'!J41</f>
        <v>-2354782.0510000004</v>
      </c>
      <c r="K19" s="788">
        <f>'Yesler DRAW'!K41</f>
        <v>-5651476.9223999996</v>
      </c>
      <c r="L19" s="788">
        <f>'Yesler DRAW'!L41</f>
        <v>-5651476.9223999996</v>
      </c>
      <c r="M19" s="788">
        <f>'Yesler DRAW'!M41</f>
        <v>-5651476.9223999996</v>
      </c>
      <c r="N19" s="788">
        <f>'Yesler DRAW'!N41</f>
        <v>-5651476.9223999996</v>
      </c>
      <c r="O19" s="788">
        <f>'Yesler DRAW'!O41</f>
        <v>-4709564.1020000009</v>
      </c>
      <c r="P19" s="788">
        <f>'Yesler DRAW'!P41</f>
        <v>-3296694.871400001</v>
      </c>
      <c r="Q19" s="788">
        <f>'Yesler DRAW'!Q41</f>
        <v>-2354782.0510000004</v>
      </c>
      <c r="R19" s="788">
        <f>'Yesler DRAW'!R41</f>
        <v>-2354782.0510000004</v>
      </c>
      <c r="S19" s="788">
        <f>'Yesler DRAW'!S41</f>
        <v>-2354782.0510000004</v>
      </c>
      <c r="T19" s="788">
        <f>'Yesler DRAW'!T41</f>
        <v>0</v>
      </c>
      <c r="U19" s="790">
        <f>'Yesler DRAW'!U41</f>
        <v>79954200</v>
      </c>
      <c r="V19" s="788">
        <f>'Yesler DRAW'!V41</f>
        <v>0</v>
      </c>
      <c r="W19" s="788">
        <f>'Yesler DRAW'!W41</f>
        <v>0</v>
      </c>
      <c r="X19" s="788">
        <f>'Yesler DRAW'!X41</f>
        <v>0</v>
      </c>
      <c r="Y19" s="788">
        <f>'Yesler DRAW'!Y41</f>
        <v>0</v>
      </c>
      <c r="Z19" s="788">
        <f>'Yesler DRAW'!Z41</f>
        <v>0</v>
      </c>
      <c r="AA19" s="788">
        <f>'Yesler DRAW'!AA41</f>
        <v>0</v>
      </c>
      <c r="AB19" s="788">
        <f>'Yesler DRAW'!AB41</f>
        <v>0</v>
      </c>
      <c r="AC19" s="788">
        <f>'Yesler DRAW'!AC41</f>
        <v>0</v>
      </c>
      <c r="AD19" s="788">
        <f>'Yesler DRAW'!AD41</f>
        <v>0</v>
      </c>
      <c r="AE19" s="788">
        <f>'Yesler DRAW'!AE41</f>
        <v>0</v>
      </c>
      <c r="AF19" s="788">
        <f>'Yesler DRAW'!AF41</f>
        <v>0</v>
      </c>
      <c r="AG19" s="788">
        <f>'Yesler DRAW'!AG41</f>
        <v>0</v>
      </c>
      <c r="AH19" s="788">
        <f>'Yesler DRAW'!AH41</f>
        <v>0</v>
      </c>
      <c r="AI19" s="788">
        <f>'Yesler DRAW'!AI41</f>
        <v>0</v>
      </c>
      <c r="AJ19" s="790">
        <f>'Yesler DRAW'!AJ41</f>
        <v>79954200</v>
      </c>
      <c r="AK19" s="788">
        <f>'Yesler DRAW'!AK41</f>
        <v>0</v>
      </c>
      <c r="AL19" s="788">
        <f>'Yesler DRAW'!AL41</f>
        <v>0</v>
      </c>
      <c r="AM19" s="788">
        <f>'Yesler DRAW'!AM41</f>
        <v>0</v>
      </c>
      <c r="AN19" s="788">
        <f>'Yesler DRAW'!AN41</f>
        <v>0</v>
      </c>
      <c r="AO19" s="788">
        <f>'Yesler DRAW'!AO41</f>
        <v>0</v>
      </c>
      <c r="AP19" s="788">
        <f>'Yesler DRAW'!AP41</f>
        <v>0</v>
      </c>
      <c r="AQ19" s="788">
        <f>'Yesler DRAW'!AQ41</f>
        <v>0</v>
      </c>
      <c r="AR19" s="788">
        <f>'Yesler DRAW'!AR41</f>
        <v>0</v>
      </c>
      <c r="AS19" s="788">
        <f>'Yesler DRAW'!AS41</f>
        <v>0</v>
      </c>
      <c r="AT19" s="788">
        <f>'Yesler DRAW'!AT41</f>
        <v>0</v>
      </c>
      <c r="AU19" s="788">
        <f>'Yesler DRAW'!AU41</f>
        <v>0</v>
      </c>
    </row>
    <row r="20" spans="1:47">
      <c r="A20" s="1174" t="str">
        <f t="shared" si="3"/>
        <v>Lower Cascade Apts</v>
      </c>
      <c r="B20" s="394"/>
      <c r="C20" s="788">
        <v>0</v>
      </c>
      <c r="D20" s="788">
        <v>0</v>
      </c>
      <c r="E20" s="788">
        <v>0</v>
      </c>
      <c r="F20" s="788">
        <v>0</v>
      </c>
      <c r="G20" s="788">
        <v>0</v>
      </c>
      <c r="H20" s="788">
        <v>0</v>
      </c>
      <c r="I20" s="788">
        <v>0</v>
      </c>
      <c r="J20" s="788">
        <v>0</v>
      </c>
      <c r="K20" s="788">
        <v>0</v>
      </c>
      <c r="L20" s="788">
        <v>0</v>
      </c>
      <c r="M20" s="788">
        <v>0</v>
      </c>
      <c r="N20" s="788">
        <v>0</v>
      </c>
      <c r="O20" s="788">
        <v>0</v>
      </c>
      <c r="P20" s="788">
        <v>0</v>
      </c>
      <c r="Q20" s="788">
        <v>0</v>
      </c>
      <c r="R20" s="788">
        <v>0</v>
      </c>
      <c r="S20" s="1175">
        <f>'Lower Cascade Draw '!C42</f>
        <v>-54125473</v>
      </c>
      <c r="T20" s="788">
        <f>'Lower Cascade Draw '!D42</f>
        <v>0</v>
      </c>
      <c r="U20" s="788">
        <f>'Lower Cascade Draw '!E42</f>
        <v>-10317906.208000002</v>
      </c>
      <c r="V20" s="788">
        <f>'Lower Cascade Draw '!F42</f>
        <v>-10317906.208000002</v>
      </c>
      <c r="W20" s="788">
        <f>'Lower Cascade Draw '!G42</f>
        <v>-10317906.208000002</v>
      </c>
      <c r="X20" s="788">
        <f>'Lower Cascade Draw '!H42</f>
        <v>-20635812.416000005</v>
      </c>
      <c r="Y20" s="788">
        <f>'Lower Cascade Draw '!I42</f>
        <v>-20635812.416000005</v>
      </c>
      <c r="Z20" s="788">
        <f>'Lower Cascade Draw '!J42</f>
        <v>-20635812.416000005</v>
      </c>
      <c r="AA20" s="788">
        <f>'Lower Cascade Draw '!K42</f>
        <v>-20635812.416000005</v>
      </c>
      <c r="AB20" s="788">
        <f>'Lower Cascade Draw '!L42</f>
        <v>-20635812.416000005</v>
      </c>
      <c r="AC20" s="788">
        <f>'Lower Cascade Draw '!M42</f>
        <v>-20635812.416000005</v>
      </c>
      <c r="AD20" s="788">
        <f>'Lower Cascade Draw '!N42</f>
        <v>-20635812.416000005</v>
      </c>
      <c r="AE20" s="788">
        <f>'Lower Cascade Draw '!O42</f>
        <v>-20635812.416000005</v>
      </c>
      <c r="AF20" s="788">
        <f>'Lower Cascade Draw '!P42</f>
        <v>-10317906.208000002</v>
      </c>
      <c r="AG20" s="788">
        <f>'Lower Cascade Draw '!Q42</f>
        <v>0</v>
      </c>
      <c r="AH20" s="790">
        <f>'Lower Cascade Draw '!R42</f>
        <v>298393900</v>
      </c>
      <c r="AI20" s="788">
        <f>'Lower Cascade Draw '!S42</f>
        <v>0</v>
      </c>
      <c r="AJ20" s="788">
        <f>'Lower Cascade Draw '!T42</f>
        <v>0</v>
      </c>
      <c r="AK20" s="788">
        <f>'Lower Cascade Draw '!U42</f>
        <v>0</v>
      </c>
      <c r="AL20" s="788">
        <f>'Lower Cascade Draw '!V42</f>
        <v>0</v>
      </c>
      <c r="AM20" s="788">
        <f>'Lower Cascade Draw '!W42</f>
        <v>0</v>
      </c>
      <c r="AN20" s="788">
        <v>0</v>
      </c>
      <c r="AO20" s="788">
        <f>'Lower Cascade Draw '!Y42</f>
        <v>0</v>
      </c>
      <c r="AP20" s="788">
        <f>'Lower Cascade Draw '!Z42</f>
        <v>0</v>
      </c>
      <c r="AQ20" s="788">
        <f>'Lower Cascade Draw '!AA42</f>
        <v>0</v>
      </c>
      <c r="AR20" s="788">
        <f>'Lower Cascade Draw '!AB42</f>
        <v>0</v>
      </c>
      <c r="AS20" s="788">
        <f>'Lower Cascade Draw '!AC42</f>
        <v>0</v>
      </c>
      <c r="AT20" s="788">
        <f>'Lower Cascade Draw '!AD42</f>
        <v>0</v>
      </c>
      <c r="AU20" s="788">
        <f>'Lower Cascade Draw '!AE42</f>
        <v>0</v>
      </c>
    </row>
    <row r="21" spans="1:47">
      <c r="A21" s="1174" t="str">
        <f t="shared" si="3"/>
        <v>4th Street Site</v>
      </c>
      <c r="B21" s="394"/>
      <c r="C21" s="788">
        <v>0</v>
      </c>
      <c r="D21" s="788">
        <v>0</v>
      </c>
      <c r="E21" s="788">
        <v>0</v>
      </c>
      <c r="F21" s="788">
        <v>0</v>
      </c>
      <c r="G21" s="788">
        <v>0</v>
      </c>
      <c r="H21" s="788">
        <v>0</v>
      </c>
      <c r="I21" s="788">
        <v>0</v>
      </c>
      <c r="J21" s="788">
        <v>0</v>
      </c>
      <c r="K21" s="788">
        <v>0</v>
      </c>
      <c r="L21" s="788">
        <v>0</v>
      </c>
      <c r="M21" s="788">
        <v>0</v>
      </c>
      <c r="N21" s="788">
        <v>0</v>
      </c>
      <c r="O21" s="788">
        <v>0</v>
      </c>
      <c r="P21" s="788">
        <v>0</v>
      </c>
      <c r="Q21" s="788">
        <v>0</v>
      </c>
      <c r="R21" s="788">
        <v>0</v>
      </c>
      <c r="S21" s="1175">
        <f>'4th Street Draw'!C46</f>
        <v>-21089484.539999999</v>
      </c>
      <c r="T21" s="788">
        <f>'4th Street Draw'!D46</f>
        <v>0</v>
      </c>
      <c r="U21" s="788">
        <f>'4th Street Draw'!E46</f>
        <v>-2177476.4169999999</v>
      </c>
      <c r="V21" s="788">
        <f>'4th Street Draw'!F46</f>
        <v>-2177476.4169999999</v>
      </c>
      <c r="W21" s="788">
        <f>'4th Street Draw'!G46</f>
        <v>-2177476.4169999999</v>
      </c>
      <c r="X21" s="788">
        <f>'4th Street Draw'!H46</f>
        <v>-4354952.8339999998</v>
      </c>
      <c r="Y21" s="788">
        <f>'4th Street Draw'!I46</f>
        <v>-4354952.8339999998</v>
      </c>
      <c r="Z21" s="788">
        <f>'4th Street Draw'!J46</f>
        <v>-8709905.6679999996</v>
      </c>
      <c r="AA21" s="788">
        <f>'4th Street Draw'!K46</f>
        <v>-6532429.2510000011</v>
      </c>
      <c r="AB21" s="788">
        <f>'4th Street Draw'!L46</f>
        <v>-4354952.8339999998</v>
      </c>
      <c r="AC21" s="788">
        <f>'4th Street Draw'!M46</f>
        <v>-4354952.8339999998</v>
      </c>
      <c r="AD21" s="788">
        <f>'4th Street Draw'!N46</f>
        <v>-4354952.8339999998</v>
      </c>
      <c r="AE21" s="790">
        <f>'4th Street Draw'!O46</f>
        <v>73389329.094736829</v>
      </c>
      <c r="AF21" s="788">
        <f>'4th Street Draw'!P46</f>
        <v>0</v>
      </c>
      <c r="AG21" s="788">
        <f>'4th Street Draw'!Q46</f>
        <v>0</v>
      </c>
      <c r="AH21" s="788">
        <f>'4th Street Draw'!R46</f>
        <v>0</v>
      </c>
      <c r="AI21" s="788">
        <f>'4th Street Draw'!S46</f>
        <v>0</v>
      </c>
      <c r="AJ21" s="788">
        <f>'4th Street Draw'!T46</f>
        <v>0</v>
      </c>
      <c r="AK21" s="788">
        <f>'4th Street Draw'!U46</f>
        <v>0</v>
      </c>
      <c r="AL21" s="788">
        <f>'4th Street Draw'!V46</f>
        <v>0</v>
      </c>
      <c r="AM21" s="788">
        <f>'4th Street Draw'!W46</f>
        <v>0</v>
      </c>
      <c r="AN21" s="788">
        <f>'4th Street Draw'!X46</f>
        <v>0</v>
      </c>
      <c r="AO21" s="788">
        <f>'4th Street Draw'!Y46</f>
        <v>0</v>
      </c>
      <c r="AP21" s="788">
        <f>'4th Street Draw'!Z46</f>
        <v>0</v>
      </c>
      <c r="AQ21" s="788">
        <f>'4th Street Draw'!AA46</f>
        <v>0</v>
      </c>
      <c r="AR21" s="788">
        <f>'4th Street Draw'!AB46</f>
        <v>0</v>
      </c>
      <c r="AS21" s="788">
        <f>'4th Street Draw'!AC46</f>
        <v>0</v>
      </c>
      <c r="AT21" s="788">
        <f>'4th Street Draw'!AD46</f>
        <v>0</v>
      </c>
      <c r="AU21" s="788">
        <f>'4th Street Draw'!AE46</f>
        <v>0</v>
      </c>
    </row>
    <row r="22" spans="1:47">
      <c r="A22" s="1174" t="str">
        <f t="shared" si="3"/>
        <v>Chinook Condos</v>
      </c>
      <c r="B22" s="394"/>
      <c r="C22" s="788">
        <v>0</v>
      </c>
      <c r="D22" s="788">
        <v>0</v>
      </c>
      <c r="E22" s="788">
        <v>0</v>
      </c>
      <c r="F22" s="788">
        <v>0</v>
      </c>
      <c r="G22" s="788">
        <v>0</v>
      </c>
      <c r="H22" s="788">
        <v>0</v>
      </c>
      <c r="I22" s="788">
        <v>0</v>
      </c>
      <c r="J22" s="788">
        <v>0</v>
      </c>
      <c r="K22" s="788">
        <v>0</v>
      </c>
      <c r="L22" s="788">
        <v>0</v>
      </c>
      <c r="M22" s="788">
        <v>0</v>
      </c>
      <c r="N22" s="788">
        <v>0</v>
      </c>
      <c r="O22" s="788">
        <v>0</v>
      </c>
      <c r="P22" s="788">
        <v>0</v>
      </c>
      <c r="Q22" s="788">
        <v>0</v>
      </c>
      <c r="R22" s="788">
        <v>0</v>
      </c>
      <c r="S22" s="1175">
        <f>'Chinook Draw'!C42</f>
        <v>-74971260</v>
      </c>
      <c r="T22" s="788">
        <f>'Chinook Draw'!D42</f>
        <v>-5048399.0770988008</v>
      </c>
      <c r="U22" s="788">
        <f>'Chinook Draw'!E42</f>
        <v>-15145197.2312964</v>
      </c>
      <c r="V22" s="788">
        <f>'Chinook Draw'!F42</f>
        <v>-15145197.2312964</v>
      </c>
      <c r="W22" s="788">
        <f>'Chinook Draw'!G42</f>
        <v>-15145197.2312964</v>
      </c>
      <c r="X22" s="788">
        <f>'Chinook Draw'!H42</f>
        <v>-10096798.154197602</v>
      </c>
      <c r="Y22" s="788">
        <f>'Chinook Draw'!I42</f>
        <v>-10096798.154197602</v>
      </c>
      <c r="Z22" s="788">
        <f>'Chinook Draw'!J42</f>
        <v>-15145197.2312964</v>
      </c>
      <c r="AA22" s="788">
        <f>'Chinook Draw'!K42</f>
        <v>-15145197.2312964</v>
      </c>
      <c r="AB22" s="790">
        <f>'Chinook Draw'!L42</f>
        <v>266573200</v>
      </c>
      <c r="AC22" s="788">
        <f>'Chinook Draw'!M42</f>
        <v>0</v>
      </c>
      <c r="AD22" s="788">
        <f>'Chinook Draw'!N42</f>
        <v>0</v>
      </c>
      <c r="AE22" s="788">
        <f>'Chinook Draw'!O42</f>
        <v>0</v>
      </c>
      <c r="AF22" s="788">
        <f>'Chinook Draw'!P42</f>
        <v>0</v>
      </c>
      <c r="AG22" s="788">
        <f>'Chinook Draw'!Q42</f>
        <v>0</v>
      </c>
      <c r="AH22" s="788">
        <f>'Chinook Draw'!R42</f>
        <v>0</v>
      </c>
      <c r="AI22" s="788">
        <f>'Chinook Draw'!S42</f>
        <v>0</v>
      </c>
      <c r="AJ22" s="788">
        <f>'Chinook Draw'!T42</f>
        <v>0</v>
      </c>
      <c r="AK22" s="788">
        <f>'Chinook Draw'!U42</f>
        <v>0</v>
      </c>
      <c r="AL22" s="788">
        <f>'Chinook Draw'!V42</f>
        <v>0</v>
      </c>
      <c r="AM22" s="788">
        <f>'Chinook Draw'!W42</f>
        <v>0</v>
      </c>
      <c r="AN22" s="788">
        <f>'Chinook Draw'!X42</f>
        <v>0</v>
      </c>
      <c r="AO22" s="788">
        <f>'Chinook Draw'!Y42</f>
        <v>0</v>
      </c>
      <c r="AP22" s="788">
        <f>'Chinook Draw'!Z42</f>
        <v>0</v>
      </c>
      <c r="AQ22" s="788">
        <f>'Chinook Draw'!AA42</f>
        <v>0</v>
      </c>
      <c r="AR22" s="788">
        <f>'Chinook Draw'!AB42</f>
        <v>0</v>
      </c>
      <c r="AS22" s="788">
        <f>'Chinook Draw'!AC42</f>
        <v>0</v>
      </c>
      <c r="AT22" s="788">
        <f>'Chinook Draw'!AD42</f>
        <v>0</v>
      </c>
      <c r="AU22" s="788">
        <f>'Chinook Draw'!AE42</f>
        <v>0</v>
      </c>
    </row>
    <row r="23" spans="1:47">
      <c r="A23" s="1174" t="str">
        <f t="shared" si="3"/>
        <v>Rainier Tower Apts</v>
      </c>
      <c r="B23" s="394"/>
      <c r="C23" s="788">
        <v>0</v>
      </c>
      <c r="D23" s="788">
        <v>0</v>
      </c>
      <c r="E23" s="788">
        <v>0</v>
      </c>
      <c r="F23" s="788">
        <v>0</v>
      </c>
      <c r="G23" s="788">
        <v>0</v>
      </c>
      <c r="H23" s="788">
        <v>0</v>
      </c>
      <c r="I23" s="788">
        <v>0</v>
      </c>
      <c r="J23" s="788">
        <v>0</v>
      </c>
      <c r="K23" s="788">
        <v>0</v>
      </c>
      <c r="L23" s="788">
        <v>0</v>
      </c>
      <c r="M23" s="788">
        <v>0</v>
      </c>
      <c r="N23" s="788">
        <v>0</v>
      </c>
      <c r="O23" s="788">
        <v>0</v>
      </c>
      <c r="P23" s="788">
        <v>0</v>
      </c>
      <c r="Q23" s="788">
        <v>0</v>
      </c>
      <c r="R23" s="788">
        <v>0</v>
      </c>
      <c r="S23" s="788">
        <v>0</v>
      </c>
      <c r="T23" s="788">
        <v>0</v>
      </c>
      <c r="U23" s="788">
        <v>0</v>
      </c>
      <c r="V23" s="788">
        <v>0</v>
      </c>
      <c r="W23" s="788">
        <v>0</v>
      </c>
      <c r="X23" s="788">
        <v>0</v>
      </c>
      <c r="Y23" s="788">
        <v>0</v>
      </c>
      <c r="Z23" s="788">
        <v>0</v>
      </c>
      <c r="AA23" s="788">
        <v>0</v>
      </c>
      <c r="AB23" s="788">
        <v>0</v>
      </c>
      <c r="AC23" s="788">
        <v>0</v>
      </c>
      <c r="AD23" s="788">
        <v>0</v>
      </c>
      <c r="AE23" s="1175">
        <f>'Rainier Tower Draw'!C42</f>
        <v>-58494986.5</v>
      </c>
      <c r="AF23" s="788">
        <f>'Rainier Tower Draw'!D42</f>
        <v>0</v>
      </c>
      <c r="AG23" s="788">
        <f>'Rainier Tower Draw'!E42</f>
        <v>0</v>
      </c>
      <c r="AH23" s="788">
        <f>'Rainier Tower Draw'!F42</f>
        <v>0</v>
      </c>
      <c r="AI23" s="788">
        <f>'Rainier Tower Draw'!G42</f>
        <v>0</v>
      </c>
      <c r="AJ23" s="788">
        <f>'Rainier Tower Draw'!H42</f>
        <v>0</v>
      </c>
      <c r="AK23" s="788">
        <f>'Rainier Tower Draw'!I42</f>
        <v>-10244868.154704001</v>
      </c>
      <c r="AL23" s="788">
        <f>'Rainier Tower Draw'!J42</f>
        <v>-10244868.154704001</v>
      </c>
      <c r="AM23" s="788">
        <f>'Rainier Tower Draw'!K42</f>
        <v>-10244868.154704001</v>
      </c>
      <c r="AN23" s="788">
        <f>'Rainier Tower Draw'!L42</f>
        <v>-10244868.154704001</v>
      </c>
      <c r="AO23" s="788">
        <f>'Rainier Tower Draw'!M42</f>
        <v>-40979472.618816003</v>
      </c>
      <c r="AP23" s="788">
        <f>'Rainier Tower Draw'!N42</f>
        <v>-40979472.618816003</v>
      </c>
      <c r="AQ23" s="788">
        <f>'Rainier Tower Draw'!O42</f>
        <v>-40979472.618816003</v>
      </c>
      <c r="AR23" s="788">
        <f>'Rainier Tower Draw'!P42</f>
        <v>-40979472.618816003</v>
      </c>
      <c r="AS23" s="788">
        <f>'Rainier Tower Draw'!Q42</f>
        <v>0</v>
      </c>
      <c r="AT23" s="790">
        <f>'Rainier Tower Draw'!R42</f>
        <v>321979900</v>
      </c>
      <c r="AU23" s="788">
        <f>'Rainier Tower Draw'!S42</f>
        <v>0</v>
      </c>
    </row>
    <row r="24" spans="1:47">
      <c r="A24" s="1174" t="str">
        <f t="shared" si="3"/>
        <v>Upper Cascade Apts</v>
      </c>
      <c r="B24" s="394"/>
      <c r="C24" s="788">
        <v>0</v>
      </c>
      <c r="D24" s="788">
        <v>0</v>
      </c>
      <c r="E24" s="788">
        <v>0</v>
      </c>
      <c r="F24" s="788">
        <v>0</v>
      </c>
      <c r="G24" s="788">
        <v>0</v>
      </c>
      <c r="H24" s="788">
        <v>0</v>
      </c>
      <c r="I24" s="788">
        <v>0</v>
      </c>
      <c r="J24" s="788">
        <v>0</v>
      </c>
      <c r="K24" s="788">
        <v>0</v>
      </c>
      <c r="L24" s="788">
        <v>0</v>
      </c>
      <c r="M24" s="788">
        <v>0</v>
      </c>
      <c r="N24" s="788">
        <v>0</v>
      </c>
      <c r="O24" s="788">
        <v>0</v>
      </c>
      <c r="P24" s="788">
        <v>0</v>
      </c>
      <c r="Q24" s="788">
        <v>0</v>
      </c>
      <c r="R24" s="788">
        <v>0</v>
      </c>
      <c r="S24" s="788">
        <v>0</v>
      </c>
      <c r="T24" s="788">
        <v>0</v>
      </c>
      <c r="U24" s="788">
        <v>0</v>
      </c>
      <c r="V24" s="788">
        <v>0</v>
      </c>
      <c r="W24" s="1175">
        <f>'Upper Cascade Draw '!C42</f>
        <v>-70201285</v>
      </c>
      <c r="X24" s="788">
        <f>'Upper Cascade Draw '!D42</f>
        <v>0</v>
      </c>
      <c r="Y24" s="788">
        <f>'Upper Cascade Draw '!E42</f>
        <v>0</v>
      </c>
      <c r="Z24" s="788">
        <f>'Upper Cascade Draw '!F42</f>
        <v>0</v>
      </c>
      <c r="AA24" s="788">
        <f>'Upper Cascade Draw '!G42</f>
        <v>0</v>
      </c>
      <c r="AB24" s="788">
        <f>'Upper Cascade Draw '!H42</f>
        <v>0</v>
      </c>
      <c r="AC24" s="788">
        <f>'Upper Cascade Draw '!I42</f>
        <v>-8293805.3491900004</v>
      </c>
      <c r="AD24" s="788">
        <f>'Upper Cascade Draw '!J42</f>
        <v>-8293805.3491900004</v>
      </c>
      <c r="AE24" s="788">
        <f>'Upper Cascade Draw '!K42</f>
        <v>-8293805.3491900004</v>
      </c>
      <c r="AF24" s="788">
        <f>'Upper Cascade Draw '!L42</f>
        <v>-8293805.3491900004</v>
      </c>
      <c r="AG24" s="788">
        <f>'Upper Cascade Draw '!M42</f>
        <v>-19905132.838055998</v>
      </c>
      <c r="AH24" s="788">
        <f>'Upper Cascade Draw '!N42</f>
        <v>-19905132.838055998</v>
      </c>
      <c r="AI24" s="788">
        <f>'Upper Cascade Draw '!O42</f>
        <v>-19905132.838055998</v>
      </c>
      <c r="AJ24" s="788">
        <f>'Upper Cascade Draw '!P42</f>
        <v>-19905132.838055998</v>
      </c>
      <c r="AK24" s="788">
        <f>'Upper Cascade Draw '!Q42</f>
        <v>-19905132.838055998</v>
      </c>
      <c r="AL24" s="788">
        <f>'Upper Cascade Draw '!R42</f>
        <v>-19905132.838055998</v>
      </c>
      <c r="AM24" s="788">
        <f>'Upper Cascade Draw '!S42</f>
        <v>-8293805.3491900004</v>
      </c>
      <c r="AN24" s="788">
        <f>'Upper Cascade Draw '!T42</f>
        <v>-4976283.2095139995</v>
      </c>
      <c r="AO24" s="788">
        <f>'Upper Cascade Draw '!U42</f>
        <v>0</v>
      </c>
      <c r="AP24" s="790">
        <f>'Upper Cascade Draw '!V42</f>
        <v>285991100</v>
      </c>
      <c r="AQ24" s="788">
        <f>'Upper Cascade Draw '!W42</f>
        <v>0</v>
      </c>
      <c r="AR24" s="788">
        <f>'Upper Cascade Draw '!X42</f>
        <v>0</v>
      </c>
      <c r="AS24" s="788">
        <f>'Upper Cascade Draw '!Y42</f>
        <v>0</v>
      </c>
      <c r="AT24" s="788">
        <f>'Upper Cascade Draw '!Z42</f>
        <v>0</v>
      </c>
      <c r="AU24" s="788">
        <f>'Upper Cascade Draw '!AA42</f>
        <v>0</v>
      </c>
    </row>
    <row r="25" spans="1:47">
      <c r="G25" s="21"/>
      <c r="AA25"/>
      <c r="AB25"/>
      <c r="AC25"/>
      <c r="AD25"/>
      <c r="AE25"/>
      <c r="AF25"/>
      <c r="AI25" s="21"/>
    </row>
    <row r="26" spans="1:47">
      <c r="G26" s="21"/>
      <c r="AA26"/>
      <c r="AB26"/>
      <c r="AC26"/>
      <c r="AD26"/>
      <c r="AE26"/>
      <c r="AF26"/>
      <c r="AH26"/>
      <c r="AI26"/>
      <c r="AJ26"/>
    </row>
    <row r="27" spans="1:47">
      <c r="G27" s="21"/>
      <c r="AA27"/>
      <c r="AB27"/>
      <c r="AC27"/>
      <c r="AD27"/>
      <c r="AE27"/>
      <c r="AF27"/>
      <c r="AH27"/>
      <c r="AI27"/>
      <c r="AJ27"/>
    </row>
    <row r="28" spans="1:47">
      <c r="G28" s="21"/>
      <c r="AA28"/>
      <c r="AB28"/>
      <c r="AC28"/>
      <c r="AD28"/>
      <c r="AE28"/>
      <c r="AF28"/>
      <c r="AH28"/>
      <c r="AI28"/>
      <c r="AJ28"/>
    </row>
    <row r="29" spans="1:47">
      <c r="G29" s="21"/>
      <c r="AA29"/>
      <c r="AB29"/>
      <c r="AC29"/>
      <c r="AD29"/>
      <c r="AE29"/>
      <c r="AF29"/>
      <c r="AH29"/>
      <c r="AI29"/>
      <c r="AJ29"/>
    </row>
    <row r="30" spans="1:47">
      <c r="G30" s="21"/>
      <c r="AA30"/>
      <c r="AB30"/>
      <c r="AC30"/>
      <c r="AD30"/>
      <c r="AE30"/>
      <c r="AF30"/>
      <c r="AH30"/>
      <c r="AI30"/>
      <c r="AJ30"/>
    </row>
    <row r="31" spans="1:47">
      <c r="G31" s="21"/>
      <c r="AA31"/>
      <c r="AB31"/>
      <c r="AC31"/>
      <c r="AD31"/>
      <c r="AE31"/>
      <c r="AF31"/>
      <c r="AH31"/>
      <c r="AI31"/>
      <c r="AJ31"/>
    </row>
    <row r="32" spans="1:47">
      <c r="G32" s="21"/>
      <c r="AA32"/>
      <c r="AB32"/>
      <c r="AC32"/>
      <c r="AD32"/>
      <c r="AE32"/>
      <c r="AF32"/>
      <c r="AH32"/>
      <c r="AI32"/>
      <c r="AJ32"/>
    </row>
    <row r="33" spans="7:36">
      <c r="G33" s="21"/>
      <c r="AA33"/>
      <c r="AB33"/>
      <c r="AC33"/>
      <c r="AD33"/>
      <c r="AE33"/>
      <c r="AF33"/>
      <c r="AH33"/>
      <c r="AI33"/>
      <c r="AJ33"/>
    </row>
    <row r="34" spans="7:36">
      <c r="G34" s="21"/>
      <c r="AA34"/>
      <c r="AB34"/>
      <c r="AC34"/>
      <c r="AD34"/>
      <c r="AE34"/>
      <c r="AF34"/>
      <c r="AH34"/>
      <c r="AI34"/>
      <c r="AJ34"/>
    </row>
    <row r="35" spans="7:36">
      <c r="G35" s="21"/>
      <c r="AA35"/>
      <c r="AB35"/>
      <c r="AC35"/>
      <c r="AD35"/>
      <c r="AE35"/>
      <c r="AF35"/>
      <c r="AH35"/>
      <c r="AI35"/>
      <c r="AJ35"/>
    </row>
    <row r="36" spans="7:36">
      <c r="G36" s="21"/>
      <c r="AA36"/>
      <c r="AB36"/>
      <c r="AC36"/>
      <c r="AD36"/>
      <c r="AE36"/>
      <c r="AF36"/>
      <c r="AH36"/>
      <c r="AI36"/>
      <c r="AJ36"/>
    </row>
    <row r="37" spans="7:36">
      <c r="G37" s="21"/>
      <c r="AA37"/>
      <c r="AB37"/>
      <c r="AC37"/>
      <c r="AD37"/>
      <c r="AE37"/>
      <c r="AF37"/>
      <c r="AH37"/>
      <c r="AI37"/>
      <c r="AJ37"/>
    </row>
    <row r="38" spans="7:36">
      <c r="G38" s="21"/>
      <c r="AA38"/>
      <c r="AB38"/>
      <c r="AC38"/>
      <c r="AD38"/>
      <c r="AE38"/>
      <c r="AF38"/>
      <c r="AH38"/>
      <c r="AI38"/>
      <c r="AJ38"/>
    </row>
    <row r="39" spans="7:36">
      <c r="G39" s="21"/>
      <c r="AA39"/>
      <c r="AB39"/>
      <c r="AC39"/>
      <c r="AD39"/>
      <c r="AE39"/>
      <c r="AF39"/>
      <c r="AH39"/>
      <c r="AI39"/>
      <c r="AJ39"/>
    </row>
    <row r="40" spans="7:36">
      <c r="G40" s="21"/>
      <c r="AA40"/>
      <c r="AB40"/>
      <c r="AC40"/>
      <c r="AD40"/>
      <c r="AE40"/>
      <c r="AF40"/>
      <c r="AH40"/>
      <c r="AI40"/>
      <c r="AJ40"/>
    </row>
    <row r="41" spans="7:36">
      <c r="G41" s="21"/>
      <c r="AA41"/>
      <c r="AB41"/>
      <c r="AC41"/>
      <c r="AD41"/>
      <c r="AE41"/>
      <c r="AF41"/>
      <c r="AH41"/>
      <c r="AI41"/>
      <c r="AJ41"/>
    </row>
    <row r="42" spans="7:36">
      <c r="G42" s="21"/>
      <c r="AA42"/>
      <c r="AB42"/>
      <c r="AC42"/>
      <c r="AD42"/>
      <c r="AE42"/>
      <c r="AF42"/>
      <c r="AH42"/>
      <c r="AI42"/>
      <c r="AJ42"/>
    </row>
    <row r="43" spans="7:36">
      <c r="G43" s="21"/>
      <c r="AA43"/>
      <c r="AB43"/>
      <c r="AC43"/>
      <c r="AD43"/>
      <c r="AE43"/>
      <c r="AF43"/>
      <c r="AH43"/>
      <c r="AI43"/>
      <c r="AJ43"/>
    </row>
    <row r="44" spans="7:36">
      <c r="G44" s="21"/>
      <c r="AA44"/>
      <c r="AB44"/>
      <c r="AC44"/>
      <c r="AD44"/>
      <c r="AE44"/>
      <c r="AF44"/>
      <c r="AH44"/>
      <c r="AI44"/>
      <c r="AJ44"/>
    </row>
    <row r="45" spans="7:36">
      <c r="G45" s="21"/>
      <c r="AA45"/>
      <c r="AB45"/>
      <c r="AC45"/>
      <c r="AD45"/>
      <c r="AE45"/>
      <c r="AF45"/>
      <c r="AH45"/>
      <c r="AI45"/>
      <c r="AJ45"/>
    </row>
    <row r="46" spans="7:36">
      <c r="G46" s="21"/>
      <c r="AA46"/>
      <c r="AB46"/>
      <c r="AC46"/>
      <c r="AD46"/>
      <c r="AE46"/>
      <c r="AF46"/>
      <c r="AH46"/>
      <c r="AI46"/>
      <c r="AJ46"/>
    </row>
    <row r="47" spans="7:36">
      <c r="G47" s="21"/>
      <c r="AA47"/>
      <c r="AB47"/>
      <c r="AC47"/>
      <c r="AD47"/>
      <c r="AE47"/>
      <c r="AF47"/>
      <c r="AH47"/>
      <c r="AI47"/>
      <c r="AJ47"/>
    </row>
    <row r="48" spans="7:36">
      <c r="G48" s="21"/>
      <c r="AA48"/>
      <c r="AB48"/>
      <c r="AC48"/>
      <c r="AD48"/>
      <c r="AE48"/>
      <c r="AF48"/>
      <c r="AH48"/>
      <c r="AI48"/>
      <c r="AJ48"/>
    </row>
    <row r="49" spans="7:36">
      <c r="G49" s="21"/>
      <c r="AA49"/>
      <c r="AB49"/>
      <c r="AC49"/>
      <c r="AD49"/>
      <c r="AE49"/>
      <c r="AF49"/>
      <c r="AH49"/>
      <c r="AI49"/>
      <c r="AJ49"/>
    </row>
    <row r="50" spans="7:36">
      <c r="G50" s="21"/>
      <c r="AA50"/>
      <c r="AB50"/>
      <c r="AC50"/>
      <c r="AD50"/>
      <c r="AE50"/>
      <c r="AF50"/>
      <c r="AH50"/>
      <c r="AI50"/>
      <c r="AJ50"/>
    </row>
    <row r="51" spans="7:36">
      <c r="G51" s="21"/>
      <c r="AA51"/>
      <c r="AB51"/>
      <c r="AC51"/>
      <c r="AD51"/>
      <c r="AE51"/>
      <c r="AF51"/>
      <c r="AH51"/>
      <c r="AI51"/>
      <c r="AJ51"/>
    </row>
    <row r="52" spans="7:36">
      <c r="G52" s="21"/>
      <c r="AA52"/>
      <c r="AB52"/>
      <c r="AC52"/>
      <c r="AD52"/>
      <c r="AE52"/>
      <c r="AF52"/>
      <c r="AH52"/>
      <c r="AI52"/>
      <c r="AJ52"/>
    </row>
    <row r="53" spans="7:36">
      <c r="G53" s="21"/>
      <c r="AA53"/>
      <c r="AB53"/>
      <c r="AC53"/>
      <c r="AD53"/>
      <c r="AE53"/>
      <c r="AF53"/>
      <c r="AH53"/>
      <c r="AI53"/>
      <c r="AJ53"/>
    </row>
    <row r="54" spans="7:36">
      <c r="G54" s="21"/>
      <c r="AA54"/>
      <c r="AB54"/>
      <c r="AC54"/>
      <c r="AD54"/>
      <c r="AE54"/>
      <c r="AF54"/>
      <c r="AH54"/>
      <c r="AI54"/>
      <c r="AJ54"/>
    </row>
    <row r="55" spans="7:36">
      <c r="G55" s="21"/>
      <c r="AA55"/>
      <c r="AB55"/>
      <c r="AC55"/>
      <c r="AD55"/>
      <c r="AE55"/>
      <c r="AF55"/>
      <c r="AH55"/>
      <c r="AI55"/>
      <c r="AJ55"/>
    </row>
    <row r="56" spans="7:36">
      <c r="G56" s="21"/>
      <c r="AA56"/>
      <c r="AB56"/>
      <c r="AC56"/>
      <c r="AD56"/>
      <c r="AE56"/>
      <c r="AF56"/>
    </row>
    <row r="57" spans="7:36">
      <c r="G57" s="21"/>
      <c r="AA57"/>
      <c r="AB57"/>
      <c r="AC57"/>
      <c r="AD57"/>
      <c r="AE57"/>
      <c r="AF57"/>
    </row>
    <row r="58" spans="7:36">
      <c r="G58" s="21"/>
      <c r="AA58"/>
      <c r="AB58"/>
      <c r="AC58"/>
      <c r="AD58"/>
      <c r="AE58"/>
      <c r="AF58"/>
    </row>
    <row r="59" spans="7:36">
      <c r="G59" s="21"/>
      <c r="AA59"/>
      <c r="AB59"/>
      <c r="AC59"/>
      <c r="AD59"/>
      <c r="AE59"/>
      <c r="AF59"/>
    </row>
    <row r="60" spans="7:36">
      <c r="G60" s="21"/>
      <c r="AA60"/>
      <c r="AB60"/>
      <c r="AC60"/>
      <c r="AD60"/>
      <c r="AE60"/>
      <c r="AF60"/>
    </row>
    <row r="61" spans="7:36">
      <c r="G61" s="21"/>
      <c r="AA61"/>
      <c r="AB61"/>
      <c r="AC61"/>
      <c r="AD61"/>
      <c r="AE61"/>
      <c r="AF61"/>
    </row>
    <row r="62" spans="7:36">
      <c r="G62" s="21"/>
      <c r="AA62"/>
      <c r="AB62"/>
      <c r="AC62"/>
      <c r="AD62"/>
      <c r="AE62"/>
      <c r="AF62"/>
    </row>
    <row r="63" spans="7:36">
      <c r="G63" s="21"/>
      <c r="AA63"/>
      <c r="AB63"/>
      <c r="AC63"/>
      <c r="AD63"/>
      <c r="AE63"/>
      <c r="AF63"/>
    </row>
    <row r="64" spans="7:36">
      <c r="G64" s="21"/>
      <c r="AA64"/>
      <c r="AB64"/>
      <c r="AC64"/>
      <c r="AD64"/>
      <c r="AE64"/>
      <c r="AF64"/>
    </row>
    <row r="65" spans="7:32">
      <c r="G65" s="21"/>
      <c r="AA65"/>
      <c r="AB65"/>
      <c r="AC65"/>
      <c r="AD65"/>
      <c r="AE65"/>
      <c r="AF65"/>
    </row>
    <row r="66" spans="7:32">
      <c r="G66" s="21"/>
      <c r="AA66"/>
      <c r="AB66"/>
      <c r="AC66"/>
      <c r="AD66"/>
      <c r="AE66"/>
      <c r="AF66"/>
    </row>
    <row r="67" spans="7:32">
      <c r="G67" s="21"/>
      <c r="AA67"/>
      <c r="AB67"/>
      <c r="AC67"/>
      <c r="AD67"/>
      <c r="AE67"/>
      <c r="AF67"/>
    </row>
    <row r="68" spans="7:32">
      <c r="G68" s="21"/>
      <c r="AA68"/>
      <c r="AB68"/>
      <c r="AC68"/>
      <c r="AD68"/>
      <c r="AE68"/>
      <c r="AF68"/>
    </row>
    <row r="69" spans="7:32">
      <c r="G69" s="21"/>
      <c r="AA69"/>
      <c r="AB69"/>
      <c r="AC69"/>
      <c r="AD69"/>
      <c r="AE69"/>
      <c r="AF69"/>
    </row>
    <row r="70" spans="7:32">
      <c r="G70" s="21"/>
      <c r="AA70"/>
      <c r="AB70"/>
      <c r="AC70"/>
      <c r="AD70"/>
      <c r="AE70"/>
      <c r="AF70"/>
    </row>
    <row r="71" spans="7:32">
      <c r="G71" s="21"/>
      <c r="AA71"/>
      <c r="AB71"/>
      <c r="AC71"/>
      <c r="AD71"/>
      <c r="AE71"/>
      <c r="AF71"/>
    </row>
    <row r="72" spans="7:32">
      <c r="G72" s="21"/>
      <c r="AA72"/>
      <c r="AB72"/>
      <c r="AC72"/>
      <c r="AD72"/>
      <c r="AE72"/>
      <c r="AF72"/>
    </row>
    <row r="73" spans="7:32">
      <c r="G73" s="21"/>
      <c r="AA73"/>
      <c r="AB73"/>
      <c r="AC73"/>
      <c r="AD73"/>
      <c r="AE73"/>
      <c r="AF73"/>
    </row>
    <row r="74" spans="7:32">
      <c r="G74" s="21"/>
      <c r="AA74"/>
      <c r="AB74"/>
      <c r="AC74"/>
      <c r="AD74"/>
      <c r="AE74"/>
      <c r="AF74"/>
    </row>
    <row r="75" spans="7:32">
      <c r="G75" s="21"/>
      <c r="AA75"/>
      <c r="AB75"/>
      <c r="AC75"/>
      <c r="AD75"/>
      <c r="AE75"/>
      <c r="AF75"/>
    </row>
    <row r="76" spans="7:32">
      <c r="G76" s="21"/>
      <c r="AA76"/>
      <c r="AB76"/>
      <c r="AC76"/>
      <c r="AD76"/>
      <c r="AE76"/>
      <c r="AF76"/>
    </row>
    <row r="77" spans="7:32">
      <c r="G77" s="21"/>
      <c r="AA77"/>
      <c r="AB77"/>
      <c r="AC77"/>
      <c r="AD77"/>
      <c r="AE77"/>
      <c r="AF77"/>
    </row>
    <row r="78" spans="7:32">
      <c r="G78" s="21"/>
      <c r="AA78"/>
      <c r="AB78"/>
      <c r="AC78"/>
      <c r="AD78"/>
      <c r="AE78"/>
      <c r="AF78"/>
    </row>
    <row r="79" spans="7:32">
      <c r="G79" s="21"/>
      <c r="AA79"/>
      <c r="AB79"/>
      <c r="AC79"/>
      <c r="AD79"/>
      <c r="AE79"/>
      <c r="AF79"/>
    </row>
    <row r="80" spans="7:32">
      <c r="G80" s="21"/>
      <c r="AA80"/>
      <c r="AB80"/>
      <c r="AC80"/>
      <c r="AD80"/>
      <c r="AE80"/>
      <c r="AF80"/>
    </row>
    <row r="81" spans="7:32">
      <c r="G81" s="21"/>
      <c r="AA81"/>
      <c r="AB81"/>
      <c r="AC81"/>
      <c r="AD81"/>
      <c r="AE81"/>
      <c r="AF81"/>
    </row>
    <row r="82" spans="7:32">
      <c r="G82" s="21"/>
      <c r="AA82"/>
      <c r="AB82"/>
      <c r="AC82"/>
      <c r="AD82"/>
      <c r="AE82"/>
      <c r="AF82"/>
    </row>
    <row r="83" spans="7:32">
      <c r="G83" s="21"/>
      <c r="AA83"/>
      <c r="AB83"/>
      <c r="AC83"/>
      <c r="AD83"/>
      <c r="AE83"/>
      <c r="AF83"/>
    </row>
    <row r="84" spans="7:32">
      <c r="G84" s="21"/>
      <c r="AA84"/>
      <c r="AB84"/>
      <c r="AC84"/>
      <c r="AD84"/>
      <c r="AE84"/>
      <c r="AF84"/>
    </row>
    <row r="85" spans="7:32">
      <c r="G85" s="21"/>
      <c r="AA85"/>
      <c r="AB85"/>
      <c r="AC85"/>
      <c r="AD85"/>
      <c r="AE85"/>
      <c r="AF85"/>
    </row>
    <row r="86" spans="7:32">
      <c r="G86" s="21"/>
      <c r="AA86"/>
      <c r="AB86"/>
      <c r="AC86"/>
      <c r="AD86"/>
      <c r="AE86"/>
      <c r="AF86"/>
    </row>
    <row r="87" spans="7:32">
      <c r="G87" s="21"/>
      <c r="AA87"/>
      <c r="AB87"/>
      <c r="AC87"/>
      <c r="AD87"/>
      <c r="AE87"/>
      <c r="AF87"/>
    </row>
    <row r="88" spans="7:32">
      <c r="G88" s="21"/>
      <c r="AA88"/>
      <c r="AB88"/>
      <c r="AC88"/>
      <c r="AD88"/>
      <c r="AE88"/>
      <c r="AF88"/>
    </row>
    <row r="89" spans="7:32">
      <c r="G89" s="21"/>
      <c r="AA89"/>
      <c r="AB89"/>
      <c r="AC89"/>
      <c r="AD89"/>
      <c r="AE89"/>
      <c r="AF89"/>
    </row>
    <row r="90" spans="7:32">
      <c r="G90" s="21"/>
      <c r="AA90"/>
      <c r="AB90"/>
      <c r="AC90"/>
      <c r="AD90"/>
      <c r="AE90"/>
      <c r="AF90"/>
    </row>
    <row r="91" spans="7:32">
      <c r="G91" s="21"/>
      <c r="AA91"/>
      <c r="AB91"/>
      <c r="AC91"/>
      <c r="AD91"/>
      <c r="AE91"/>
      <c r="AF91"/>
    </row>
    <row r="92" spans="7:32">
      <c r="G92" s="21"/>
      <c r="AA92"/>
      <c r="AB92"/>
      <c r="AC92"/>
      <c r="AD92"/>
      <c r="AE92"/>
      <c r="AF92"/>
    </row>
    <row r="93" spans="7:32">
      <c r="G93" s="21"/>
      <c r="AA93"/>
      <c r="AB93"/>
      <c r="AC93"/>
      <c r="AD93"/>
      <c r="AE93"/>
      <c r="AF93"/>
    </row>
    <row r="94" spans="7:32">
      <c r="G94" s="21"/>
      <c r="AA94"/>
      <c r="AB94"/>
      <c r="AC94"/>
      <c r="AD94"/>
      <c r="AE94"/>
      <c r="AF94"/>
    </row>
    <row r="95" spans="7:32">
      <c r="G95" s="21"/>
      <c r="AA95"/>
      <c r="AB95"/>
      <c r="AC95"/>
      <c r="AD95"/>
      <c r="AE95"/>
      <c r="AF95"/>
    </row>
    <row r="96" spans="7:32">
      <c r="G96" s="21"/>
      <c r="AA96"/>
      <c r="AB96"/>
      <c r="AC96"/>
      <c r="AD96"/>
      <c r="AE96"/>
      <c r="AF96"/>
    </row>
    <row r="97" spans="7:32">
      <c r="G97" s="21"/>
      <c r="AA97"/>
      <c r="AB97"/>
      <c r="AC97"/>
      <c r="AD97"/>
      <c r="AE97"/>
      <c r="AF97"/>
    </row>
    <row r="98" spans="7:32">
      <c r="G98" s="21"/>
      <c r="AA98"/>
      <c r="AB98"/>
      <c r="AC98"/>
      <c r="AD98"/>
      <c r="AE98"/>
      <c r="AF98"/>
    </row>
    <row r="99" spans="7:32">
      <c r="G99" s="21"/>
      <c r="AA99"/>
      <c r="AB99"/>
      <c r="AC99"/>
      <c r="AD99"/>
      <c r="AE99"/>
      <c r="AF99"/>
    </row>
    <row r="100" spans="7:32">
      <c r="G100" s="21"/>
      <c r="AA100"/>
      <c r="AB100"/>
      <c r="AC100"/>
      <c r="AD100"/>
      <c r="AE100"/>
      <c r="AF100"/>
    </row>
    <row r="101" spans="7:32">
      <c r="G101" s="21"/>
      <c r="AA101"/>
      <c r="AB101"/>
      <c r="AC101"/>
      <c r="AD101"/>
      <c r="AE101"/>
      <c r="AF101"/>
    </row>
    <row r="102" spans="7:32">
      <c r="G102" s="21"/>
      <c r="AA102"/>
      <c r="AB102"/>
      <c r="AC102"/>
      <c r="AD102"/>
      <c r="AE102"/>
      <c r="AF102"/>
    </row>
    <row r="103" spans="7:32">
      <c r="G103" s="21"/>
      <c r="AA103"/>
      <c r="AB103"/>
      <c r="AC103"/>
      <c r="AD103"/>
      <c r="AE103"/>
      <c r="AF103"/>
    </row>
    <row r="104" spans="7:32">
      <c r="G104" s="21"/>
      <c r="AA104"/>
      <c r="AB104"/>
      <c r="AC104"/>
      <c r="AD104"/>
      <c r="AE104"/>
      <c r="AF104"/>
    </row>
    <row r="105" spans="7:32">
      <c r="G105" s="21"/>
      <c r="AA105"/>
      <c r="AB105"/>
      <c r="AC105"/>
      <c r="AD105"/>
      <c r="AE105"/>
      <c r="AF105"/>
    </row>
    <row r="106" spans="7:32">
      <c r="G106" s="21"/>
      <c r="AA106"/>
      <c r="AB106"/>
      <c r="AC106"/>
      <c r="AD106"/>
      <c r="AE106"/>
      <c r="AF106"/>
    </row>
    <row r="107" spans="7:32">
      <c r="G107" s="21"/>
      <c r="AA107"/>
      <c r="AB107"/>
      <c r="AC107"/>
      <c r="AD107"/>
      <c r="AE107"/>
      <c r="AF107"/>
    </row>
    <row r="108" spans="7:32">
      <c r="G108" s="21"/>
      <c r="AA108"/>
      <c r="AB108"/>
      <c r="AC108"/>
      <c r="AD108"/>
      <c r="AE108"/>
      <c r="AF108"/>
    </row>
    <row r="109" spans="7:32">
      <c r="G109" s="21"/>
      <c r="AA109"/>
      <c r="AB109"/>
      <c r="AC109"/>
      <c r="AD109"/>
      <c r="AE109"/>
      <c r="AF109"/>
    </row>
    <row r="110" spans="7:32">
      <c r="G110" s="21"/>
      <c r="AA110"/>
      <c r="AB110"/>
      <c r="AC110"/>
      <c r="AD110"/>
      <c r="AE110"/>
      <c r="AF110"/>
    </row>
    <row r="111" spans="7:32">
      <c r="G111" s="21"/>
      <c r="AA111"/>
      <c r="AB111"/>
      <c r="AC111"/>
      <c r="AD111"/>
      <c r="AE111"/>
      <c r="AF111"/>
    </row>
    <row r="112" spans="7:32">
      <c r="G112" s="21"/>
      <c r="AA112"/>
      <c r="AB112"/>
      <c r="AC112"/>
      <c r="AD112"/>
      <c r="AE112"/>
      <c r="AF112"/>
    </row>
    <row r="113" spans="7:32">
      <c r="G113" s="21"/>
      <c r="AA113"/>
      <c r="AB113"/>
      <c r="AC113"/>
      <c r="AD113"/>
      <c r="AE113"/>
      <c r="AF113"/>
    </row>
    <row r="114" spans="7:32">
      <c r="G114" s="21"/>
      <c r="AA114"/>
      <c r="AB114"/>
      <c r="AC114"/>
      <c r="AD114"/>
      <c r="AE114"/>
      <c r="AF114"/>
    </row>
    <row r="115" spans="7:32">
      <c r="G115" s="21"/>
      <c r="AA115"/>
      <c r="AB115"/>
      <c r="AC115"/>
      <c r="AD115"/>
      <c r="AE115"/>
      <c r="AF115"/>
    </row>
    <row r="116" spans="7:32">
      <c r="G116" s="21"/>
      <c r="AA116"/>
      <c r="AB116"/>
      <c r="AC116"/>
      <c r="AD116"/>
      <c r="AE116"/>
      <c r="AF116"/>
    </row>
    <row r="117" spans="7:32">
      <c r="G117" s="21"/>
      <c r="AA117"/>
      <c r="AB117"/>
      <c r="AC117"/>
      <c r="AD117"/>
      <c r="AE117"/>
      <c r="AF117"/>
    </row>
    <row r="118" spans="7:32">
      <c r="G118" s="21"/>
      <c r="AA118"/>
      <c r="AB118"/>
      <c r="AC118"/>
      <c r="AD118"/>
      <c r="AE118"/>
      <c r="AF118"/>
    </row>
    <row r="119" spans="7:32">
      <c r="G119" s="21"/>
      <c r="AA119"/>
      <c r="AB119"/>
      <c r="AC119"/>
      <c r="AD119"/>
      <c r="AE119"/>
      <c r="AF119"/>
    </row>
    <row r="120" spans="7:32">
      <c r="G120" s="21"/>
      <c r="AA120"/>
      <c r="AB120"/>
      <c r="AC120"/>
      <c r="AD120"/>
      <c r="AE120"/>
      <c r="AF120"/>
    </row>
    <row r="121" spans="7:32">
      <c r="G121" s="21"/>
      <c r="AA121"/>
      <c r="AB121"/>
      <c r="AC121"/>
      <c r="AD121"/>
      <c r="AE121"/>
      <c r="AF121"/>
    </row>
    <row r="122" spans="7:32">
      <c r="G122" s="21"/>
      <c r="AA122"/>
      <c r="AB122"/>
      <c r="AC122"/>
      <c r="AD122"/>
      <c r="AE122"/>
      <c r="AF122"/>
    </row>
    <row r="123" spans="7:32">
      <c r="G123" s="21"/>
      <c r="AA123"/>
      <c r="AB123"/>
      <c r="AC123"/>
      <c r="AD123"/>
      <c r="AE123"/>
      <c r="AF123"/>
    </row>
    <row r="124" spans="7:32">
      <c r="G124" s="21"/>
      <c r="AA124"/>
      <c r="AB124"/>
      <c r="AC124"/>
      <c r="AD124"/>
      <c r="AE124"/>
      <c r="AF124"/>
    </row>
    <row r="125" spans="7:32">
      <c r="G125" s="21"/>
      <c r="AA125"/>
      <c r="AB125"/>
      <c r="AC125"/>
      <c r="AD125"/>
      <c r="AE125"/>
      <c r="AF125"/>
    </row>
    <row r="126" spans="7:32">
      <c r="G126" s="21"/>
      <c r="AA126"/>
      <c r="AB126"/>
      <c r="AC126"/>
      <c r="AD126"/>
      <c r="AE126"/>
      <c r="AF126"/>
    </row>
    <row r="127" spans="7:32">
      <c r="G127" s="21"/>
      <c r="AA127"/>
      <c r="AB127"/>
      <c r="AC127"/>
      <c r="AD127"/>
      <c r="AE127"/>
      <c r="AF127"/>
    </row>
    <row r="128" spans="7:32">
      <c r="G128" s="21"/>
      <c r="AA128"/>
      <c r="AB128"/>
      <c r="AC128"/>
      <c r="AD128"/>
      <c r="AE128"/>
      <c r="AF128"/>
    </row>
    <row r="129" spans="7:32">
      <c r="G129" s="21"/>
      <c r="AA129"/>
      <c r="AB129"/>
      <c r="AC129"/>
      <c r="AD129"/>
      <c r="AE129"/>
      <c r="AF129"/>
    </row>
    <row r="130" spans="7:32">
      <c r="G130" s="21"/>
      <c r="AA130"/>
      <c r="AB130"/>
      <c r="AC130"/>
      <c r="AD130"/>
      <c r="AE130"/>
      <c r="AF130"/>
    </row>
    <row r="131" spans="7:32">
      <c r="G131" s="21"/>
      <c r="AA131"/>
      <c r="AB131"/>
      <c r="AC131"/>
      <c r="AD131"/>
      <c r="AE131"/>
      <c r="AF131"/>
    </row>
    <row r="132" spans="7:32">
      <c r="G132" s="21"/>
      <c r="AA132"/>
      <c r="AB132"/>
      <c r="AC132"/>
      <c r="AD132"/>
      <c r="AE132"/>
      <c r="AF132"/>
    </row>
    <row r="133" spans="7:32">
      <c r="G133" s="21"/>
      <c r="AA133"/>
      <c r="AB133"/>
      <c r="AC133"/>
      <c r="AD133"/>
      <c r="AE133"/>
      <c r="AF133"/>
    </row>
    <row r="134" spans="7:32">
      <c r="G134" s="21"/>
      <c r="AA134"/>
      <c r="AB134"/>
      <c r="AC134"/>
      <c r="AD134"/>
      <c r="AE134"/>
      <c r="AF134"/>
    </row>
    <row r="135" spans="7:32">
      <c r="G135" s="21"/>
      <c r="AA135"/>
      <c r="AB135"/>
      <c r="AC135"/>
      <c r="AD135"/>
      <c r="AE135"/>
      <c r="AF135"/>
    </row>
    <row r="136" spans="7:32">
      <c r="G136" s="21"/>
      <c r="AA136"/>
      <c r="AB136"/>
      <c r="AC136"/>
      <c r="AD136"/>
      <c r="AE136"/>
      <c r="AF136"/>
    </row>
    <row r="137" spans="7:32">
      <c r="G137" s="21"/>
      <c r="AA137"/>
      <c r="AB137"/>
      <c r="AC137"/>
      <c r="AD137"/>
      <c r="AE137"/>
      <c r="AF137"/>
    </row>
    <row r="138" spans="7:32">
      <c r="G138" s="21"/>
      <c r="AA138"/>
      <c r="AB138"/>
      <c r="AC138"/>
      <c r="AD138"/>
      <c r="AE138"/>
      <c r="AF138"/>
    </row>
    <row r="139" spans="7:32">
      <c r="G139" s="21"/>
      <c r="AA139"/>
      <c r="AB139"/>
      <c r="AC139"/>
      <c r="AD139"/>
      <c r="AE139"/>
      <c r="AF139"/>
    </row>
    <row r="140" spans="7:32">
      <c r="G140" s="21"/>
      <c r="AA140"/>
      <c r="AB140"/>
      <c r="AC140"/>
      <c r="AD140"/>
      <c r="AE140"/>
      <c r="AF140"/>
    </row>
    <row r="141" spans="7:32">
      <c r="G141" s="21"/>
      <c r="AA141"/>
      <c r="AB141"/>
      <c r="AC141"/>
      <c r="AD141"/>
      <c r="AE141"/>
      <c r="AF141"/>
    </row>
    <row r="142" spans="7:32">
      <c r="G142" s="21"/>
      <c r="AA142"/>
      <c r="AB142"/>
      <c r="AC142"/>
      <c r="AD142"/>
      <c r="AE142"/>
      <c r="AF142"/>
    </row>
    <row r="143" spans="7:32">
      <c r="G143" s="21"/>
      <c r="AA143"/>
      <c r="AB143"/>
      <c r="AC143"/>
      <c r="AD143"/>
      <c r="AE143"/>
      <c r="AF143"/>
    </row>
    <row r="144" spans="7:32">
      <c r="G144" s="21"/>
      <c r="AA144"/>
      <c r="AB144"/>
      <c r="AC144"/>
      <c r="AD144"/>
      <c r="AE144"/>
      <c r="AF144"/>
    </row>
    <row r="145" spans="7:32">
      <c r="G145" s="21"/>
      <c r="AA145"/>
      <c r="AB145"/>
      <c r="AC145"/>
      <c r="AD145"/>
      <c r="AE145"/>
      <c r="AF145"/>
    </row>
    <row r="146" spans="7:32">
      <c r="G146" s="21"/>
      <c r="AA146"/>
      <c r="AB146"/>
      <c r="AC146"/>
      <c r="AD146"/>
      <c r="AE146"/>
      <c r="AF146"/>
    </row>
    <row r="147" spans="7:32">
      <c r="G147" s="21"/>
      <c r="AA147"/>
      <c r="AB147"/>
      <c r="AC147"/>
      <c r="AD147"/>
      <c r="AE147"/>
      <c r="AF147"/>
    </row>
    <row r="148" spans="7:32">
      <c r="G148" s="21"/>
      <c r="AA148"/>
      <c r="AB148"/>
      <c r="AC148"/>
      <c r="AD148"/>
      <c r="AE148"/>
      <c r="AF148"/>
    </row>
    <row r="149" spans="7:32">
      <c r="G149" s="21"/>
      <c r="AA149"/>
      <c r="AB149"/>
      <c r="AC149"/>
      <c r="AD149"/>
      <c r="AE149"/>
      <c r="AF149"/>
    </row>
    <row r="150" spans="7:32">
      <c r="G150" s="21"/>
      <c r="AA150"/>
      <c r="AB150"/>
      <c r="AC150"/>
      <c r="AD150"/>
      <c r="AE150"/>
      <c r="AF150"/>
    </row>
    <row r="151" spans="7:32">
      <c r="G151" s="21"/>
      <c r="AA151"/>
      <c r="AB151"/>
      <c r="AC151"/>
      <c r="AD151"/>
      <c r="AE151"/>
      <c r="AF151"/>
    </row>
    <row r="152" spans="7:32">
      <c r="G152" s="21"/>
      <c r="AA152"/>
      <c r="AB152"/>
      <c r="AC152"/>
      <c r="AD152"/>
      <c r="AE152"/>
      <c r="AF152"/>
    </row>
    <row r="153" spans="7:32">
      <c r="G153" s="21"/>
      <c r="AA153"/>
      <c r="AB153"/>
      <c r="AC153"/>
      <c r="AD153"/>
      <c r="AE153"/>
      <c r="AF153"/>
    </row>
    <row r="154" spans="7:32">
      <c r="G154" s="21"/>
      <c r="AA154"/>
      <c r="AB154"/>
      <c r="AC154"/>
      <c r="AD154"/>
      <c r="AE154"/>
      <c r="AF154"/>
    </row>
    <row r="155" spans="7:32">
      <c r="G155" s="21"/>
      <c r="AA155"/>
      <c r="AB155"/>
      <c r="AC155"/>
      <c r="AD155"/>
      <c r="AE155"/>
      <c r="AF155"/>
    </row>
    <row r="156" spans="7:32">
      <c r="G156" s="21"/>
      <c r="AA156"/>
      <c r="AB156"/>
      <c r="AC156"/>
      <c r="AD156"/>
      <c r="AE156"/>
      <c r="AF156"/>
    </row>
    <row r="157" spans="7:32">
      <c r="G157" s="21"/>
      <c r="AA157"/>
      <c r="AB157"/>
      <c r="AC157"/>
      <c r="AD157"/>
      <c r="AE157"/>
      <c r="AF157"/>
    </row>
    <row r="158" spans="7:32">
      <c r="G158" s="21"/>
      <c r="AA158"/>
      <c r="AB158"/>
      <c r="AC158"/>
      <c r="AD158"/>
      <c r="AE158"/>
      <c r="AF158"/>
    </row>
    <row r="159" spans="7:32">
      <c r="G159" s="21"/>
      <c r="AA159"/>
      <c r="AB159"/>
      <c r="AC159"/>
      <c r="AD159"/>
      <c r="AE159"/>
      <c r="AF159"/>
    </row>
    <row r="160" spans="7:32">
      <c r="G160" s="21"/>
      <c r="AA160"/>
      <c r="AB160"/>
      <c r="AC160"/>
      <c r="AD160"/>
      <c r="AE160"/>
      <c r="AF160"/>
    </row>
    <row r="161" spans="7:32">
      <c r="G161" s="21"/>
      <c r="AA161"/>
      <c r="AB161"/>
      <c r="AC161"/>
      <c r="AD161"/>
      <c r="AE161"/>
      <c r="AF161"/>
    </row>
    <row r="162" spans="7:32">
      <c r="G162" s="21"/>
      <c r="AA162"/>
      <c r="AB162"/>
      <c r="AC162"/>
      <c r="AD162"/>
      <c r="AE162"/>
      <c r="AF162"/>
    </row>
    <row r="163" spans="7:32">
      <c r="G163" s="21"/>
      <c r="AA163"/>
      <c r="AB163"/>
      <c r="AC163"/>
      <c r="AD163"/>
      <c r="AE163"/>
      <c r="AF163"/>
    </row>
    <row r="164" spans="7:32">
      <c r="G164" s="21"/>
      <c r="AA164"/>
      <c r="AB164"/>
      <c r="AC164"/>
      <c r="AD164"/>
      <c r="AE164"/>
      <c r="AF164"/>
    </row>
    <row r="165" spans="7:32">
      <c r="G165" s="21"/>
      <c r="AA165"/>
      <c r="AB165"/>
      <c r="AC165"/>
      <c r="AD165"/>
      <c r="AE165"/>
      <c r="AF165"/>
    </row>
    <row r="166" spans="7:32">
      <c r="G166" s="21"/>
      <c r="AA166"/>
      <c r="AB166"/>
      <c r="AC166"/>
      <c r="AD166"/>
      <c r="AE166"/>
      <c r="AF166"/>
    </row>
    <row r="167" spans="7:32">
      <c r="G167" s="21"/>
      <c r="AA167"/>
      <c r="AB167"/>
      <c r="AC167"/>
      <c r="AD167"/>
      <c r="AE167"/>
      <c r="AF167"/>
    </row>
    <row r="168" spans="7:32">
      <c r="G168" s="21"/>
      <c r="AA168"/>
      <c r="AB168"/>
      <c r="AC168"/>
      <c r="AD168"/>
      <c r="AE168"/>
      <c r="AF168"/>
    </row>
    <row r="169" spans="7:32">
      <c r="G169" s="21"/>
      <c r="AA169"/>
      <c r="AB169"/>
      <c r="AC169"/>
      <c r="AD169"/>
      <c r="AE169"/>
      <c r="AF169"/>
    </row>
    <row r="170" spans="7:32">
      <c r="G170" s="21"/>
      <c r="AA170"/>
      <c r="AB170"/>
      <c r="AC170"/>
      <c r="AD170"/>
      <c r="AE170"/>
      <c r="AF170"/>
    </row>
    <row r="171" spans="7:32">
      <c r="G171" s="21"/>
      <c r="AA171"/>
      <c r="AB171"/>
      <c r="AC171"/>
      <c r="AD171"/>
      <c r="AE171"/>
      <c r="AF171"/>
    </row>
    <row r="172" spans="7:32">
      <c r="G172" s="21"/>
      <c r="AA172"/>
      <c r="AB172"/>
      <c r="AC172"/>
      <c r="AD172"/>
      <c r="AE172"/>
      <c r="AF172"/>
    </row>
    <row r="173" spans="7:32">
      <c r="G173" s="21"/>
      <c r="AA173"/>
      <c r="AB173"/>
      <c r="AC173"/>
      <c r="AD173"/>
      <c r="AE173"/>
      <c r="AF173"/>
    </row>
    <row r="174" spans="7:32">
      <c r="G174" s="21"/>
      <c r="AA174"/>
      <c r="AB174"/>
      <c r="AC174"/>
      <c r="AD174"/>
      <c r="AE174"/>
      <c r="AF174"/>
    </row>
    <row r="175" spans="7:32">
      <c r="G175" s="21"/>
      <c r="AA175"/>
      <c r="AB175"/>
      <c r="AC175"/>
      <c r="AD175"/>
      <c r="AE175"/>
      <c r="AF175"/>
    </row>
    <row r="176" spans="7:32">
      <c r="G176" s="21"/>
      <c r="AA176"/>
      <c r="AB176"/>
      <c r="AC176"/>
      <c r="AD176"/>
      <c r="AE176"/>
      <c r="AF176"/>
    </row>
    <row r="177" spans="7:32">
      <c r="G177" s="21"/>
      <c r="AA177"/>
      <c r="AB177"/>
      <c r="AC177"/>
      <c r="AD177"/>
      <c r="AE177"/>
      <c r="AF177"/>
    </row>
    <row r="178" spans="7:32">
      <c r="G178" s="21"/>
      <c r="AA178"/>
      <c r="AB178"/>
      <c r="AC178"/>
      <c r="AD178"/>
      <c r="AE178"/>
      <c r="AF178"/>
    </row>
    <row r="179" spans="7:32">
      <c r="G179" s="21"/>
      <c r="AA179"/>
      <c r="AB179"/>
      <c r="AC179"/>
      <c r="AD179"/>
      <c r="AE179"/>
      <c r="AF179"/>
    </row>
    <row r="180" spans="7:32">
      <c r="G180" s="21"/>
      <c r="AA180"/>
      <c r="AB180"/>
      <c r="AC180"/>
      <c r="AD180"/>
      <c r="AE180"/>
      <c r="AF180"/>
    </row>
    <row r="181" spans="7:32">
      <c r="G181" s="21"/>
      <c r="AA181"/>
      <c r="AB181"/>
      <c r="AC181"/>
      <c r="AD181"/>
      <c r="AE181"/>
      <c r="AF181"/>
    </row>
    <row r="182" spans="7:32">
      <c r="G182" s="21"/>
      <c r="AA182"/>
      <c r="AB182"/>
      <c r="AC182"/>
      <c r="AD182"/>
      <c r="AE182"/>
      <c r="AF182"/>
    </row>
    <row r="183" spans="7:32">
      <c r="G183" s="21"/>
      <c r="AA183"/>
      <c r="AB183"/>
      <c r="AC183"/>
      <c r="AD183"/>
      <c r="AE183"/>
      <c r="AF183"/>
    </row>
    <row r="184" spans="7:32">
      <c r="G184" s="21"/>
      <c r="AA184"/>
      <c r="AB184"/>
      <c r="AC184"/>
      <c r="AD184"/>
      <c r="AE184"/>
      <c r="AF184"/>
    </row>
    <row r="185" spans="7:32">
      <c r="G185" s="21"/>
      <c r="AA185"/>
      <c r="AB185"/>
      <c r="AC185"/>
      <c r="AD185"/>
      <c r="AE185"/>
      <c r="AF185"/>
    </row>
    <row r="186" spans="7:32">
      <c r="G186" s="21"/>
      <c r="AA186"/>
      <c r="AB186"/>
      <c r="AC186"/>
      <c r="AD186"/>
      <c r="AE186"/>
      <c r="AF186"/>
    </row>
    <row r="187" spans="7:32">
      <c r="G187" s="21"/>
      <c r="AA187"/>
      <c r="AB187"/>
      <c r="AC187"/>
      <c r="AD187"/>
      <c r="AE187"/>
      <c r="AF187"/>
    </row>
    <row r="188" spans="7:32">
      <c r="G188" s="21"/>
      <c r="AA188"/>
      <c r="AB188"/>
      <c r="AC188"/>
      <c r="AD188"/>
      <c r="AE188"/>
      <c r="AF188"/>
    </row>
    <row r="189" spans="7:32">
      <c r="G189" s="21"/>
      <c r="AA189"/>
      <c r="AB189"/>
      <c r="AC189"/>
      <c r="AD189"/>
      <c r="AE189"/>
      <c r="AF189"/>
    </row>
    <row r="190" spans="7:32">
      <c r="G190" s="21"/>
      <c r="AA190"/>
      <c r="AB190"/>
      <c r="AC190"/>
      <c r="AD190"/>
      <c r="AE190"/>
      <c r="AF190"/>
    </row>
    <row r="191" spans="7:32">
      <c r="G191" s="21"/>
      <c r="AA191"/>
      <c r="AB191"/>
      <c r="AC191"/>
      <c r="AD191"/>
      <c r="AE191"/>
      <c r="AF191"/>
    </row>
    <row r="192" spans="7:32">
      <c r="G192" s="21"/>
      <c r="AA192"/>
      <c r="AB192"/>
      <c r="AC192"/>
      <c r="AD192"/>
      <c r="AE192"/>
      <c r="AF192"/>
    </row>
    <row r="193" spans="7:32">
      <c r="G193" s="21"/>
      <c r="AA193"/>
      <c r="AB193"/>
      <c r="AC193"/>
      <c r="AD193"/>
      <c r="AE193"/>
      <c r="AF193"/>
    </row>
    <row r="194" spans="7:32">
      <c r="G194" s="21"/>
      <c r="AA194"/>
      <c r="AB194"/>
      <c r="AC194"/>
      <c r="AD194"/>
      <c r="AE194"/>
      <c r="AF194"/>
    </row>
    <row r="195" spans="7:32">
      <c r="G195" s="21"/>
      <c r="AA195"/>
      <c r="AB195"/>
      <c r="AC195"/>
      <c r="AD195"/>
      <c r="AE195"/>
      <c r="AF195"/>
    </row>
    <row r="196" spans="7:32">
      <c r="G196" s="21"/>
      <c r="AA196"/>
      <c r="AB196"/>
      <c r="AC196"/>
      <c r="AD196"/>
      <c r="AE196"/>
      <c r="AF196"/>
    </row>
    <row r="197" spans="7:32">
      <c r="G197" s="21"/>
      <c r="AA197"/>
      <c r="AB197"/>
      <c r="AC197"/>
      <c r="AD197"/>
      <c r="AE197"/>
      <c r="AF197"/>
    </row>
    <row r="198" spans="7:32">
      <c r="G198" s="21"/>
      <c r="AA198"/>
      <c r="AB198"/>
      <c r="AC198"/>
      <c r="AD198"/>
      <c r="AE198"/>
      <c r="AF198"/>
    </row>
    <row r="199" spans="7:32">
      <c r="G199" s="21"/>
      <c r="AA199"/>
      <c r="AB199"/>
      <c r="AC199"/>
      <c r="AD199"/>
      <c r="AE199"/>
      <c r="AF199"/>
    </row>
    <row r="200" spans="7:32">
      <c r="G200" s="21"/>
      <c r="AA200"/>
      <c r="AB200"/>
      <c r="AC200"/>
      <c r="AD200"/>
      <c r="AE200"/>
      <c r="AF200"/>
    </row>
    <row r="201" spans="7:32">
      <c r="G201" s="21"/>
      <c r="AA201"/>
      <c r="AB201"/>
      <c r="AC201"/>
      <c r="AD201"/>
      <c r="AE201"/>
      <c r="AF201"/>
    </row>
    <row r="202" spans="7:32">
      <c r="G202" s="21"/>
      <c r="AA202"/>
      <c r="AB202"/>
      <c r="AC202"/>
      <c r="AD202"/>
      <c r="AE202"/>
      <c r="AF202"/>
    </row>
    <row r="203" spans="7:32">
      <c r="G203" s="21"/>
      <c r="AA203"/>
      <c r="AB203"/>
      <c r="AC203"/>
      <c r="AD203"/>
      <c r="AE203"/>
      <c r="AF203"/>
    </row>
    <row r="204" spans="7:32">
      <c r="G204" s="21"/>
      <c r="AA204"/>
      <c r="AB204"/>
      <c r="AC204"/>
      <c r="AD204"/>
      <c r="AE204"/>
      <c r="AF204"/>
    </row>
    <row r="205" spans="7:32">
      <c r="G205" s="21"/>
      <c r="AA205"/>
      <c r="AB205"/>
      <c r="AC205"/>
      <c r="AD205"/>
      <c r="AE205"/>
      <c r="AF205"/>
    </row>
    <row r="206" spans="7:32">
      <c r="G206" s="21"/>
      <c r="AA206"/>
      <c r="AB206"/>
      <c r="AC206"/>
      <c r="AD206"/>
      <c r="AE206"/>
      <c r="AF206"/>
    </row>
    <row r="207" spans="7:32">
      <c r="G207" s="21"/>
      <c r="AA207"/>
      <c r="AB207"/>
      <c r="AC207"/>
      <c r="AD207"/>
      <c r="AE207"/>
      <c r="AF207"/>
    </row>
    <row r="208" spans="7:32">
      <c r="G208" s="21"/>
      <c r="AA208"/>
      <c r="AB208"/>
      <c r="AC208"/>
      <c r="AD208"/>
      <c r="AE208"/>
      <c r="AF208"/>
    </row>
    <row r="209" spans="7:32">
      <c r="G209" s="21"/>
      <c r="AA209"/>
      <c r="AB209"/>
      <c r="AC209"/>
      <c r="AD209"/>
      <c r="AE209"/>
      <c r="AF209"/>
    </row>
    <row r="210" spans="7:32">
      <c r="G210" s="21"/>
      <c r="AA210"/>
      <c r="AB210"/>
      <c r="AC210"/>
      <c r="AD210"/>
      <c r="AE210"/>
      <c r="AF210"/>
    </row>
    <row r="211" spans="7:32">
      <c r="G211" s="21"/>
      <c r="AA211"/>
      <c r="AB211"/>
      <c r="AC211"/>
      <c r="AD211"/>
      <c r="AE211"/>
      <c r="AF211"/>
    </row>
    <row r="212" spans="7:32">
      <c r="G212" s="21"/>
      <c r="AA212"/>
      <c r="AB212"/>
      <c r="AC212"/>
      <c r="AD212"/>
      <c r="AE212"/>
      <c r="AF212"/>
    </row>
    <row r="213" spans="7:32">
      <c r="G213" s="21"/>
      <c r="AA213"/>
      <c r="AB213"/>
      <c r="AC213"/>
      <c r="AD213"/>
      <c r="AE213"/>
      <c r="AF213"/>
    </row>
    <row r="214" spans="7:32">
      <c r="G214" s="21"/>
      <c r="AA214"/>
      <c r="AB214"/>
      <c r="AC214"/>
      <c r="AD214"/>
      <c r="AE214"/>
      <c r="AF214"/>
    </row>
    <row r="215" spans="7:32">
      <c r="G215" s="21"/>
      <c r="AA215"/>
      <c r="AB215"/>
      <c r="AC215"/>
      <c r="AD215"/>
      <c r="AE215"/>
      <c r="AF215"/>
    </row>
    <row r="216" spans="7:32">
      <c r="G216" s="21"/>
      <c r="AA216"/>
      <c r="AB216"/>
      <c r="AC216"/>
      <c r="AD216"/>
      <c r="AE216"/>
      <c r="AF216"/>
    </row>
    <row r="217" spans="7:32">
      <c r="G217" s="21"/>
      <c r="AA217"/>
      <c r="AB217"/>
      <c r="AC217"/>
      <c r="AD217"/>
      <c r="AE217"/>
      <c r="AF217"/>
    </row>
    <row r="218" spans="7:32">
      <c r="G218" s="21"/>
      <c r="AA218"/>
      <c r="AB218"/>
      <c r="AC218"/>
      <c r="AD218"/>
      <c r="AE218"/>
      <c r="AF218"/>
    </row>
    <row r="219" spans="7:32">
      <c r="G219" s="21"/>
      <c r="AA219"/>
      <c r="AB219"/>
      <c r="AC219"/>
      <c r="AD219"/>
      <c r="AE219"/>
      <c r="AF219"/>
    </row>
    <row r="220" spans="7:32">
      <c r="G220" s="21"/>
      <c r="AA220"/>
      <c r="AB220"/>
      <c r="AC220"/>
      <c r="AD220"/>
      <c r="AE220"/>
      <c r="AF220"/>
    </row>
    <row r="221" spans="7:32">
      <c r="G221" s="21"/>
      <c r="AA221"/>
      <c r="AB221"/>
      <c r="AC221"/>
      <c r="AD221"/>
      <c r="AE221"/>
      <c r="AF221"/>
    </row>
    <row r="222" spans="7:32">
      <c r="G222" s="21"/>
      <c r="AA222"/>
      <c r="AB222"/>
      <c r="AC222"/>
      <c r="AD222"/>
      <c r="AE222"/>
      <c r="AF222"/>
    </row>
    <row r="223" spans="7:32">
      <c r="G223" s="21"/>
      <c r="AA223"/>
      <c r="AB223"/>
      <c r="AC223"/>
      <c r="AD223"/>
      <c r="AE223"/>
      <c r="AF223"/>
    </row>
    <row r="224" spans="7:32">
      <c r="G224" s="21"/>
      <c r="AA224"/>
      <c r="AB224"/>
      <c r="AC224"/>
      <c r="AD224"/>
      <c r="AE224"/>
      <c r="AF224"/>
    </row>
    <row r="225" spans="7:32">
      <c r="G225" s="21"/>
      <c r="AA225"/>
      <c r="AB225"/>
      <c r="AC225"/>
      <c r="AD225"/>
      <c r="AE225"/>
      <c r="AF225"/>
    </row>
    <row r="226" spans="7:32">
      <c r="G226" s="21"/>
      <c r="AA226"/>
      <c r="AB226"/>
      <c r="AC226"/>
      <c r="AD226"/>
      <c r="AE226"/>
      <c r="AF226"/>
    </row>
    <row r="227" spans="7:32">
      <c r="G227" s="21"/>
      <c r="AA227"/>
      <c r="AB227"/>
      <c r="AC227"/>
      <c r="AD227"/>
      <c r="AE227"/>
      <c r="AF227"/>
    </row>
    <row r="228" spans="7:32">
      <c r="G228" s="21"/>
      <c r="AA228"/>
      <c r="AB228"/>
      <c r="AC228"/>
      <c r="AD228"/>
      <c r="AE228"/>
      <c r="AF228"/>
    </row>
    <row r="229" spans="7:32">
      <c r="G229" s="21"/>
      <c r="AA229"/>
      <c r="AB229"/>
      <c r="AC229"/>
      <c r="AD229"/>
      <c r="AE229"/>
      <c r="AF229"/>
    </row>
    <row r="230" spans="7:32">
      <c r="G230" s="21"/>
      <c r="AA230"/>
      <c r="AB230"/>
      <c r="AC230"/>
      <c r="AD230"/>
      <c r="AE230"/>
      <c r="AF230"/>
    </row>
    <row r="231" spans="7:32">
      <c r="G231" s="21"/>
      <c r="AA231"/>
      <c r="AB231"/>
      <c r="AC231"/>
      <c r="AD231"/>
      <c r="AE231"/>
      <c r="AF231"/>
    </row>
    <row r="232" spans="7:32">
      <c r="G232" s="21"/>
      <c r="AA232"/>
      <c r="AB232"/>
      <c r="AC232"/>
      <c r="AD232"/>
      <c r="AE232"/>
      <c r="AF232"/>
    </row>
    <row r="233" spans="7:32">
      <c r="G233" s="21"/>
      <c r="AA233"/>
      <c r="AB233"/>
      <c r="AC233"/>
      <c r="AD233"/>
      <c r="AE233"/>
      <c r="AF233"/>
    </row>
    <row r="234" spans="7:32">
      <c r="G234" s="21"/>
      <c r="AA234"/>
      <c r="AB234"/>
      <c r="AC234"/>
      <c r="AD234"/>
      <c r="AE234"/>
      <c r="AF234"/>
    </row>
    <row r="235" spans="7:32">
      <c r="G235" s="21"/>
      <c r="AA235"/>
      <c r="AB235"/>
      <c r="AC235"/>
      <c r="AD235"/>
      <c r="AE235"/>
      <c r="AF235"/>
    </row>
    <row r="236" spans="7:32">
      <c r="G236" s="21"/>
      <c r="AA236"/>
      <c r="AB236"/>
      <c r="AC236"/>
      <c r="AD236"/>
      <c r="AE236"/>
      <c r="AF236"/>
    </row>
    <row r="237" spans="7:32">
      <c r="G237" s="21"/>
      <c r="AA237"/>
      <c r="AB237"/>
      <c r="AC237"/>
      <c r="AD237"/>
      <c r="AE237"/>
      <c r="AF237"/>
    </row>
    <row r="238" spans="7:32">
      <c r="G238" s="21"/>
      <c r="AA238"/>
      <c r="AB238"/>
      <c r="AC238"/>
      <c r="AD238"/>
      <c r="AE238"/>
      <c r="AF238"/>
    </row>
    <row r="239" spans="7:32">
      <c r="G239" s="21"/>
      <c r="AA239"/>
      <c r="AB239"/>
      <c r="AC239"/>
      <c r="AD239"/>
      <c r="AE239"/>
      <c r="AF239"/>
    </row>
    <row r="240" spans="7:32">
      <c r="G240" s="21"/>
      <c r="AA240"/>
      <c r="AB240"/>
      <c r="AC240"/>
      <c r="AD240"/>
      <c r="AE240"/>
      <c r="AF240"/>
    </row>
    <row r="241" spans="7:32">
      <c r="G241" s="21"/>
      <c r="AA241"/>
      <c r="AB241"/>
      <c r="AC241"/>
      <c r="AD241"/>
      <c r="AE241"/>
      <c r="AF241"/>
    </row>
    <row r="242" spans="7:32">
      <c r="G242" s="21"/>
      <c r="AA242"/>
      <c r="AB242"/>
      <c r="AC242"/>
      <c r="AD242"/>
      <c r="AE242"/>
      <c r="AF242"/>
    </row>
    <row r="243" spans="7:32">
      <c r="G243" s="21"/>
      <c r="AA243"/>
      <c r="AB243"/>
      <c r="AC243"/>
      <c r="AD243"/>
      <c r="AE243"/>
      <c r="AF243"/>
    </row>
    <row r="244" spans="7:32">
      <c r="G244" s="21"/>
      <c r="AA244"/>
      <c r="AB244"/>
      <c r="AC244"/>
      <c r="AD244"/>
      <c r="AE244"/>
      <c r="AF244"/>
    </row>
    <row r="245" spans="7:32">
      <c r="G245" s="21"/>
      <c r="AA245"/>
      <c r="AB245"/>
      <c r="AC245"/>
      <c r="AD245"/>
      <c r="AE245"/>
      <c r="AF245"/>
    </row>
    <row r="246" spans="7:32">
      <c r="G246" s="21"/>
      <c r="AA246"/>
      <c r="AB246"/>
      <c r="AC246"/>
      <c r="AD246"/>
      <c r="AE246"/>
      <c r="AF246"/>
    </row>
    <row r="247" spans="7:32">
      <c r="G247" s="21"/>
      <c r="AA247"/>
      <c r="AB247"/>
      <c r="AC247"/>
      <c r="AD247"/>
      <c r="AE247"/>
      <c r="AF247"/>
    </row>
    <row r="248" spans="7:32">
      <c r="G248" s="21"/>
      <c r="AA248"/>
      <c r="AB248"/>
      <c r="AC248"/>
      <c r="AD248"/>
      <c r="AE248"/>
      <c r="AF248"/>
    </row>
    <row r="249" spans="7:32">
      <c r="G249" s="21"/>
      <c r="AA249"/>
      <c r="AB249"/>
      <c r="AC249"/>
      <c r="AD249"/>
      <c r="AE249"/>
      <c r="AF249"/>
    </row>
    <row r="250" spans="7:32">
      <c r="G250" s="21"/>
      <c r="AA250"/>
      <c r="AB250"/>
      <c r="AC250"/>
      <c r="AD250"/>
      <c r="AE250"/>
      <c r="AF250"/>
    </row>
    <row r="251" spans="7:32">
      <c r="G251" s="21"/>
      <c r="AA251"/>
      <c r="AB251"/>
      <c r="AC251"/>
      <c r="AD251"/>
      <c r="AE251"/>
      <c r="AF251"/>
    </row>
    <row r="252" spans="7:32">
      <c r="G252" s="21"/>
      <c r="AA252"/>
      <c r="AB252"/>
      <c r="AC252"/>
      <c r="AD252"/>
      <c r="AE252"/>
      <c r="AF252"/>
    </row>
    <row r="253" spans="7:32">
      <c r="G253" s="21"/>
      <c r="AA253"/>
      <c r="AB253"/>
      <c r="AC253"/>
      <c r="AD253"/>
      <c r="AE253"/>
      <c r="AF253"/>
    </row>
    <row r="254" spans="7:32">
      <c r="G254" s="21"/>
      <c r="AA254"/>
      <c r="AB254"/>
      <c r="AC254"/>
      <c r="AD254"/>
      <c r="AE254"/>
      <c r="AF254"/>
    </row>
    <row r="255" spans="7:32">
      <c r="G255" s="21"/>
      <c r="AA255"/>
      <c r="AB255"/>
      <c r="AC255"/>
      <c r="AD255"/>
      <c r="AE255"/>
      <c r="AF255"/>
    </row>
    <row r="256" spans="7:32">
      <c r="G256" s="21"/>
      <c r="AA256"/>
      <c r="AB256"/>
      <c r="AC256"/>
      <c r="AD256"/>
      <c r="AE256"/>
      <c r="AF256"/>
    </row>
    <row r="257" spans="7:32">
      <c r="G257" s="21"/>
      <c r="AA257"/>
      <c r="AB257"/>
      <c r="AC257"/>
      <c r="AD257"/>
      <c r="AE257"/>
      <c r="AF257"/>
    </row>
    <row r="258" spans="7:32">
      <c r="G258" s="21"/>
      <c r="AA258"/>
      <c r="AB258"/>
      <c r="AC258"/>
      <c r="AD258"/>
      <c r="AE258"/>
      <c r="AF258"/>
    </row>
    <row r="259" spans="7:32">
      <c r="G259" s="21"/>
      <c r="AA259"/>
      <c r="AB259"/>
      <c r="AC259"/>
      <c r="AD259"/>
      <c r="AE259"/>
      <c r="AF259"/>
    </row>
    <row r="260" spans="7:32">
      <c r="G260" s="21"/>
      <c r="AA260"/>
      <c r="AB260"/>
      <c r="AC260"/>
      <c r="AD260"/>
      <c r="AE260"/>
      <c r="AF260"/>
    </row>
    <row r="261" spans="7:32">
      <c r="G261" s="21"/>
      <c r="AA261"/>
      <c r="AB261"/>
      <c r="AC261"/>
      <c r="AD261"/>
      <c r="AE261"/>
      <c r="AF261"/>
    </row>
    <row r="262" spans="7:32">
      <c r="G262" s="21"/>
      <c r="AA262"/>
      <c r="AB262"/>
      <c r="AC262"/>
      <c r="AD262"/>
      <c r="AE262"/>
      <c r="AF262"/>
    </row>
    <row r="263" spans="7:32">
      <c r="G263" s="21"/>
      <c r="AA263"/>
      <c r="AB263"/>
      <c r="AC263"/>
      <c r="AD263"/>
      <c r="AE263"/>
      <c r="AF263"/>
    </row>
    <row r="264" spans="7:32">
      <c r="G264" s="21"/>
      <c r="AA264"/>
      <c r="AB264"/>
      <c r="AC264"/>
      <c r="AD264"/>
      <c r="AE264"/>
      <c r="AF264"/>
    </row>
    <row r="265" spans="7:32">
      <c r="G265" s="21"/>
      <c r="AA265"/>
      <c r="AB265"/>
      <c r="AC265"/>
      <c r="AD265"/>
      <c r="AE265"/>
      <c r="AF265"/>
    </row>
    <row r="266" spans="7:32">
      <c r="G266" s="21"/>
      <c r="AA266"/>
      <c r="AB266"/>
      <c r="AC266"/>
      <c r="AD266"/>
      <c r="AE266"/>
      <c r="AF266"/>
    </row>
    <row r="267" spans="7:32">
      <c r="G267" s="21"/>
      <c r="AA267"/>
      <c r="AB267"/>
      <c r="AC267"/>
      <c r="AD267"/>
      <c r="AE267"/>
      <c r="AF267"/>
    </row>
    <row r="268" spans="7:32">
      <c r="G268" s="21"/>
      <c r="AA268"/>
      <c r="AB268"/>
      <c r="AC268"/>
      <c r="AD268"/>
      <c r="AE268"/>
      <c r="AF268"/>
    </row>
    <row r="269" spans="7:32">
      <c r="G269" s="21"/>
      <c r="AA269"/>
      <c r="AB269"/>
      <c r="AC269"/>
      <c r="AD269"/>
      <c r="AE269"/>
      <c r="AF269"/>
    </row>
    <row r="270" spans="7:32">
      <c r="G270" s="21"/>
      <c r="AA270"/>
      <c r="AB270"/>
      <c r="AC270"/>
      <c r="AD270"/>
      <c r="AE270"/>
      <c r="AF270"/>
    </row>
    <row r="271" spans="7:32">
      <c r="G271" s="21"/>
      <c r="AA271"/>
      <c r="AB271"/>
      <c r="AC271"/>
      <c r="AD271"/>
      <c r="AE271"/>
      <c r="AF271"/>
    </row>
    <row r="272" spans="7:32">
      <c r="G272" s="21"/>
      <c r="AA272"/>
      <c r="AB272"/>
      <c r="AC272"/>
      <c r="AD272"/>
      <c r="AE272"/>
      <c r="AF272"/>
    </row>
    <row r="273" spans="7:32">
      <c r="G273" s="21"/>
      <c r="AA273"/>
      <c r="AB273"/>
      <c r="AC273"/>
      <c r="AD273"/>
      <c r="AE273"/>
      <c r="AF273"/>
    </row>
    <row r="274" spans="7:32">
      <c r="G274" s="21"/>
      <c r="AA274"/>
      <c r="AB274"/>
      <c r="AC274"/>
      <c r="AD274"/>
      <c r="AE274"/>
      <c r="AF274"/>
    </row>
    <row r="275" spans="7:32">
      <c r="G275" s="21"/>
      <c r="AA275"/>
      <c r="AB275"/>
      <c r="AC275"/>
      <c r="AD275"/>
      <c r="AE275"/>
      <c r="AF275"/>
    </row>
    <row r="276" spans="7:32">
      <c r="G276" s="21"/>
      <c r="AA276"/>
      <c r="AB276"/>
      <c r="AC276"/>
      <c r="AD276"/>
      <c r="AE276"/>
      <c r="AF276"/>
    </row>
    <row r="277" spans="7:32">
      <c r="G277" s="21"/>
      <c r="AA277"/>
      <c r="AB277"/>
      <c r="AC277"/>
      <c r="AD277"/>
      <c r="AE277"/>
      <c r="AF277"/>
    </row>
    <row r="278" spans="7:32">
      <c r="G278" s="21"/>
      <c r="AA278"/>
      <c r="AB278"/>
      <c r="AC278"/>
      <c r="AD278"/>
      <c r="AE278"/>
      <c r="AF278"/>
    </row>
    <row r="279" spans="7:32">
      <c r="G279" s="21"/>
      <c r="AA279"/>
      <c r="AB279"/>
      <c r="AC279"/>
      <c r="AD279"/>
      <c r="AE279"/>
      <c r="AF279"/>
    </row>
    <row r="280" spans="7:32">
      <c r="G280" s="21"/>
      <c r="AA280"/>
      <c r="AB280"/>
      <c r="AC280"/>
      <c r="AD280"/>
      <c r="AE280"/>
      <c r="AF280"/>
    </row>
    <row r="281" spans="7:32">
      <c r="G281" s="21"/>
      <c r="AA281"/>
      <c r="AB281"/>
      <c r="AC281"/>
      <c r="AD281"/>
      <c r="AE281"/>
      <c r="AF281"/>
    </row>
    <row r="282" spans="7:32">
      <c r="G282" s="21"/>
      <c r="AA282"/>
      <c r="AB282"/>
      <c r="AC282"/>
      <c r="AD282"/>
      <c r="AE282"/>
      <c r="AF282"/>
    </row>
    <row r="283" spans="7:32">
      <c r="G283" s="21"/>
      <c r="AA283"/>
      <c r="AB283"/>
      <c r="AC283"/>
      <c r="AD283"/>
      <c r="AE283"/>
      <c r="AF283"/>
    </row>
    <row r="284" spans="7:32">
      <c r="G284" s="21"/>
      <c r="AA284"/>
      <c r="AB284"/>
      <c r="AC284"/>
      <c r="AD284"/>
      <c r="AE284"/>
      <c r="AF284"/>
    </row>
    <row r="285" spans="7:32">
      <c r="G285" s="21"/>
      <c r="AA285"/>
      <c r="AB285"/>
      <c r="AC285"/>
      <c r="AD285"/>
      <c r="AE285"/>
      <c r="AF285"/>
    </row>
    <row r="286" spans="7:32">
      <c r="G286" s="21"/>
      <c r="AA286"/>
      <c r="AB286"/>
      <c r="AC286"/>
      <c r="AD286"/>
      <c r="AE286"/>
      <c r="AF286"/>
    </row>
    <row r="287" spans="7:32">
      <c r="G287" s="21"/>
      <c r="AA287"/>
      <c r="AB287"/>
      <c r="AC287"/>
      <c r="AD287"/>
      <c r="AE287"/>
      <c r="AF287"/>
    </row>
    <row r="288" spans="7:32">
      <c r="G288" s="21"/>
      <c r="AA288"/>
      <c r="AB288"/>
      <c r="AC288"/>
      <c r="AD288"/>
      <c r="AE288"/>
      <c r="AF288"/>
    </row>
    <row r="289" spans="7:32">
      <c r="G289" s="21"/>
      <c r="AA289"/>
      <c r="AB289"/>
      <c r="AC289"/>
      <c r="AD289"/>
      <c r="AE289"/>
      <c r="AF289"/>
    </row>
    <row r="290" spans="7:32">
      <c r="G290" s="21"/>
      <c r="AA290"/>
      <c r="AB290"/>
      <c r="AC290"/>
      <c r="AD290"/>
      <c r="AE290"/>
      <c r="AF290"/>
    </row>
    <row r="291" spans="7:32">
      <c r="G291" s="21"/>
      <c r="AA291"/>
      <c r="AB291"/>
      <c r="AC291"/>
      <c r="AD291"/>
      <c r="AE291"/>
      <c r="AF291"/>
    </row>
    <row r="292" spans="7:32">
      <c r="G292" s="21"/>
      <c r="AA292"/>
      <c r="AB292"/>
      <c r="AC292"/>
      <c r="AD292"/>
      <c r="AE292"/>
      <c r="AF292"/>
    </row>
    <row r="293" spans="7:32">
      <c r="G293" s="21"/>
      <c r="AA293"/>
      <c r="AB293"/>
      <c r="AC293"/>
      <c r="AD293"/>
      <c r="AE293"/>
      <c r="AF293"/>
    </row>
    <row r="294" spans="7:32">
      <c r="G294" s="21"/>
      <c r="AA294"/>
      <c r="AB294"/>
      <c r="AC294"/>
      <c r="AD294"/>
      <c r="AE294"/>
      <c r="AF294"/>
    </row>
    <row r="295" spans="7:32">
      <c r="G295" s="21"/>
      <c r="AA295"/>
      <c r="AB295"/>
      <c r="AC295"/>
      <c r="AD295"/>
      <c r="AE295"/>
      <c r="AF295"/>
    </row>
    <row r="296" spans="7:32">
      <c r="G296" s="21"/>
      <c r="AA296"/>
      <c r="AB296"/>
      <c r="AC296"/>
      <c r="AD296"/>
      <c r="AE296"/>
      <c r="AF296"/>
    </row>
    <row r="297" spans="7:32">
      <c r="G297" s="21"/>
      <c r="AA297"/>
      <c r="AB297"/>
      <c r="AC297"/>
      <c r="AD297"/>
      <c r="AE297"/>
      <c r="AF297"/>
    </row>
    <row r="298" spans="7:32">
      <c r="G298" s="21"/>
      <c r="AA298"/>
      <c r="AB298"/>
      <c r="AC298"/>
      <c r="AD298"/>
      <c r="AE298"/>
      <c r="AF298"/>
    </row>
    <row r="299" spans="7:32">
      <c r="G299" s="21"/>
      <c r="AA299"/>
      <c r="AB299"/>
      <c r="AC299"/>
      <c r="AD299"/>
      <c r="AE299"/>
      <c r="AF299"/>
    </row>
    <row r="300" spans="7:32">
      <c r="G300" s="21"/>
      <c r="AA300"/>
      <c r="AB300"/>
      <c r="AC300"/>
      <c r="AD300"/>
      <c r="AE300"/>
      <c r="AF300"/>
    </row>
    <row r="301" spans="7:32">
      <c r="G301" s="21"/>
      <c r="AA301"/>
      <c r="AB301"/>
      <c r="AC301"/>
      <c r="AD301"/>
      <c r="AE301"/>
      <c r="AF301"/>
    </row>
    <row r="302" spans="7:32">
      <c r="G302" s="21"/>
      <c r="AA302"/>
      <c r="AB302"/>
      <c r="AC302"/>
      <c r="AD302"/>
      <c r="AE302"/>
      <c r="AF302"/>
    </row>
    <row r="303" spans="7:32">
      <c r="G303" s="21"/>
      <c r="AA303"/>
      <c r="AB303"/>
      <c r="AC303"/>
      <c r="AD303"/>
      <c r="AE303"/>
      <c r="AF303"/>
    </row>
    <row r="304" spans="7:32">
      <c r="G304" s="21"/>
      <c r="AA304"/>
      <c r="AB304"/>
      <c r="AC304"/>
      <c r="AD304"/>
      <c r="AE304"/>
      <c r="AF304"/>
    </row>
    <row r="305" spans="7:32">
      <c r="G305" s="21"/>
      <c r="AA305"/>
      <c r="AB305"/>
      <c r="AC305"/>
      <c r="AD305"/>
      <c r="AE305"/>
      <c r="AF305"/>
    </row>
    <row r="306" spans="7:32">
      <c r="G306" s="21"/>
      <c r="AA306"/>
      <c r="AB306"/>
      <c r="AC306"/>
      <c r="AD306"/>
      <c r="AE306"/>
      <c r="AF306"/>
    </row>
    <row r="307" spans="7:32">
      <c r="G307" s="21"/>
      <c r="AA307"/>
      <c r="AB307"/>
      <c r="AC307"/>
      <c r="AD307"/>
      <c r="AE307"/>
      <c r="AF307"/>
    </row>
    <row r="308" spans="7:32">
      <c r="G308" s="21"/>
      <c r="AA308"/>
      <c r="AB308"/>
      <c r="AC308"/>
      <c r="AD308"/>
      <c r="AE308"/>
      <c r="AF308"/>
    </row>
    <row r="309" spans="7:32">
      <c r="G309" s="21"/>
      <c r="AA309"/>
      <c r="AB309"/>
      <c r="AC309"/>
      <c r="AD309"/>
      <c r="AE309"/>
      <c r="AF309"/>
    </row>
    <row r="310" spans="7:32">
      <c r="G310" s="21"/>
      <c r="AA310"/>
      <c r="AB310"/>
      <c r="AC310"/>
      <c r="AD310"/>
      <c r="AE310"/>
      <c r="AF310"/>
    </row>
    <row r="311" spans="7:32">
      <c r="G311" s="21"/>
      <c r="AA311"/>
      <c r="AB311"/>
      <c r="AC311"/>
      <c r="AD311"/>
      <c r="AE311"/>
      <c r="AF311"/>
    </row>
    <row r="312" spans="7:32">
      <c r="G312" s="21"/>
      <c r="AA312"/>
      <c r="AB312"/>
      <c r="AC312"/>
      <c r="AD312"/>
      <c r="AE312"/>
      <c r="AF312"/>
    </row>
    <row r="313" spans="7:32">
      <c r="G313" s="21"/>
      <c r="AA313"/>
      <c r="AB313"/>
      <c r="AC313"/>
      <c r="AD313"/>
      <c r="AE313"/>
      <c r="AF313"/>
    </row>
    <row r="314" spans="7:32">
      <c r="G314" s="21"/>
      <c r="AA314"/>
      <c r="AB314"/>
      <c r="AC314"/>
      <c r="AD314"/>
      <c r="AE314"/>
      <c r="AF314"/>
    </row>
    <row r="315" spans="7:32">
      <c r="G315" s="21"/>
      <c r="AA315"/>
      <c r="AB315"/>
      <c r="AC315"/>
      <c r="AD315"/>
      <c r="AE315"/>
      <c r="AF315"/>
    </row>
    <row r="316" spans="7:32">
      <c r="G316" s="21"/>
      <c r="AA316"/>
      <c r="AB316"/>
      <c r="AC316"/>
      <c r="AD316"/>
      <c r="AE316"/>
      <c r="AF316"/>
    </row>
    <row r="317" spans="7:32">
      <c r="G317" s="21"/>
      <c r="AA317"/>
      <c r="AB317"/>
      <c r="AC317"/>
      <c r="AD317"/>
      <c r="AE317"/>
      <c r="AF317"/>
    </row>
    <row r="318" spans="7:32">
      <c r="G318" s="21"/>
      <c r="AA318"/>
      <c r="AB318"/>
      <c r="AC318"/>
      <c r="AD318"/>
      <c r="AE318"/>
      <c r="AF318"/>
    </row>
    <row r="319" spans="7:32">
      <c r="G319" s="21"/>
      <c r="AA319"/>
      <c r="AB319"/>
      <c r="AC319"/>
      <c r="AD319"/>
      <c r="AE319"/>
      <c r="AF319"/>
    </row>
    <row r="320" spans="7:32">
      <c r="G320" s="21"/>
      <c r="AA320"/>
      <c r="AB320"/>
      <c r="AC320"/>
      <c r="AD320"/>
      <c r="AE320"/>
      <c r="AF320"/>
    </row>
    <row r="321" spans="7:32">
      <c r="G321" s="21"/>
      <c r="AA321"/>
      <c r="AB321"/>
      <c r="AC321"/>
      <c r="AD321"/>
      <c r="AE321"/>
      <c r="AF321"/>
    </row>
    <row r="322" spans="7:32">
      <c r="G322" s="21"/>
      <c r="AA322"/>
      <c r="AB322"/>
      <c r="AC322"/>
      <c r="AD322"/>
      <c r="AE322"/>
      <c r="AF322"/>
    </row>
    <row r="323" spans="7:32">
      <c r="G323" s="21"/>
      <c r="AA323"/>
      <c r="AB323"/>
      <c r="AC323"/>
      <c r="AD323"/>
      <c r="AE323"/>
      <c r="AF323"/>
    </row>
    <row r="324" spans="7:32">
      <c r="G324" s="21"/>
      <c r="AA324"/>
      <c r="AB324"/>
      <c r="AC324"/>
      <c r="AD324"/>
      <c r="AE324"/>
      <c r="AF324"/>
    </row>
    <row r="325" spans="7:32">
      <c r="G325" s="21"/>
      <c r="AA325"/>
      <c r="AB325"/>
      <c r="AC325"/>
      <c r="AD325"/>
      <c r="AE325"/>
      <c r="AF325"/>
    </row>
    <row r="326" spans="7:32">
      <c r="G326" s="21"/>
      <c r="AA326"/>
      <c r="AB326"/>
      <c r="AC326"/>
      <c r="AD326"/>
      <c r="AE326"/>
      <c r="AF326"/>
    </row>
    <row r="327" spans="7:32">
      <c r="G327" s="21"/>
      <c r="AA327"/>
      <c r="AB327"/>
      <c r="AC327"/>
      <c r="AD327"/>
      <c r="AE327"/>
      <c r="AF327"/>
    </row>
    <row r="328" spans="7:32">
      <c r="G328" s="21"/>
      <c r="AA328"/>
      <c r="AB328"/>
      <c r="AC328"/>
      <c r="AD328"/>
      <c r="AE328"/>
      <c r="AF328"/>
    </row>
    <row r="329" spans="7:32">
      <c r="G329" s="21"/>
      <c r="AA329"/>
      <c r="AB329"/>
      <c r="AC329"/>
      <c r="AD329"/>
      <c r="AE329"/>
      <c r="AF329"/>
    </row>
    <row r="330" spans="7:32">
      <c r="G330" s="21"/>
      <c r="AA330"/>
      <c r="AB330"/>
      <c r="AC330"/>
      <c r="AD330"/>
      <c r="AE330"/>
      <c r="AF330"/>
    </row>
    <row r="331" spans="7:32">
      <c r="G331" s="21"/>
      <c r="AA331"/>
      <c r="AB331"/>
      <c r="AC331"/>
      <c r="AD331"/>
      <c r="AE331"/>
      <c r="AF331"/>
    </row>
    <row r="332" spans="7:32">
      <c r="G332" s="21"/>
      <c r="AA332"/>
      <c r="AB332"/>
      <c r="AC332"/>
      <c r="AD332"/>
      <c r="AE332"/>
      <c r="AF332"/>
    </row>
    <row r="333" spans="7:32">
      <c r="G333" s="21"/>
      <c r="AA333"/>
      <c r="AB333"/>
      <c r="AC333"/>
      <c r="AD333"/>
      <c r="AE333"/>
      <c r="AF333"/>
    </row>
    <row r="334" spans="7:32">
      <c r="G334" s="21"/>
      <c r="AA334"/>
      <c r="AB334"/>
      <c r="AC334"/>
      <c r="AD334"/>
      <c r="AE334"/>
      <c r="AF334"/>
    </row>
    <row r="335" spans="7:32">
      <c r="G335" s="21"/>
      <c r="AA335"/>
      <c r="AB335"/>
      <c r="AC335"/>
      <c r="AD335"/>
      <c r="AE335"/>
      <c r="AF335"/>
    </row>
    <row r="336" spans="7:32">
      <c r="G336" s="21"/>
      <c r="AA336"/>
      <c r="AB336"/>
      <c r="AC336"/>
      <c r="AD336"/>
      <c r="AE336"/>
      <c r="AF336"/>
    </row>
    <row r="337" spans="7:32">
      <c r="G337" s="21"/>
      <c r="AA337"/>
      <c r="AB337"/>
      <c r="AC337"/>
      <c r="AD337"/>
      <c r="AE337"/>
      <c r="AF337"/>
    </row>
    <row r="338" spans="7:32">
      <c r="G338" s="21"/>
      <c r="AA338"/>
      <c r="AB338"/>
      <c r="AC338"/>
      <c r="AD338"/>
      <c r="AE338"/>
      <c r="AF338"/>
    </row>
    <row r="339" spans="7:32">
      <c r="G339" s="21"/>
      <c r="AA339"/>
      <c r="AB339"/>
      <c r="AC339"/>
      <c r="AD339"/>
      <c r="AE339"/>
      <c r="AF339"/>
    </row>
    <row r="340" spans="7:32">
      <c r="G340" s="21"/>
      <c r="AA340"/>
      <c r="AB340"/>
      <c r="AC340"/>
      <c r="AD340"/>
      <c r="AE340"/>
      <c r="AF340"/>
    </row>
    <row r="341" spans="7:32">
      <c r="G341" s="21"/>
      <c r="AA341"/>
      <c r="AB341"/>
      <c r="AC341"/>
      <c r="AD341"/>
      <c r="AE341"/>
      <c r="AF341"/>
    </row>
    <row r="342" spans="7:32">
      <c r="G342" s="21"/>
      <c r="AA342"/>
      <c r="AB342"/>
      <c r="AC342"/>
      <c r="AD342"/>
      <c r="AE342"/>
      <c r="AF342"/>
    </row>
    <row r="343" spans="7:32">
      <c r="G343" s="21"/>
      <c r="AA343"/>
      <c r="AB343"/>
      <c r="AC343"/>
      <c r="AD343"/>
      <c r="AE343"/>
      <c r="AF343"/>
    </row>
    <row r="344" spans="7:32">
      <c r="G344" s="21"/>
      <c r="AA344"/>
      <c r="AB344"/>
      <c r="AC344"/>
      <c r="AD344"/>
      <c r="AE344"/>
      <c r="AF344"/>
    </row>
    <row r="345" spans="7:32">
      <c r="G345" s="21"/>
      <c r="AA345"/>
      <c r="AB345"/>
      <c r="AC345"/>
      <c r="AD345"/>
      <c r="AE345"/>
      <c r="AF345"/>
    </row>
    <row r="346" spans="7:32">
      <c r="G346" s="21"/>
      <c r="AA346"/>
      <c r="AB346"/>
      <c r="AC346"/>
      <c r="AD346"/>
      <c r="AE346"/>
      <c r="AF346"/>
    </row>
    <row r="347" spans="7:32">
      <c r="G347" s="21"/>
      <c r="AA347"/>
      <c r="AB347"/>
      <c r="AC347"/>
      <c r="AD347"/>
      <c r="AE347"/>
      <c r="AF347"/>
    </row>
    <row r="348" spans="7:32">
      <c r="G348" s="21"/>
      <c r="AA348"/>
      <c r="AB348"/>
      <c r="AC348"/>
      <c r="AD348"/>
      <c r="AE348"/>
      <c r="AF348"/>
    </row>
    <row r="349" spans="7:32">
      <c r="G349" s="21"/>
      <c r="AA349"/>
      <c r="AB349"/>
      <c r="AC349"/>
      <c r="AD349"/>
      <c r="AE349"/>
      <c r="AF349"/>
    </row>
    <row r="350" spans="7:32">
      <c r="G350" s="21"/>
      <c r="AA350"/>
      <c r="AB350"/>
      <c r="AC350"/>
      <c r="AD350"/>
      <c r="AE350"/>
      <c r="AF350"/>
    </row>
    <row r="351" spans="7:32">
      <c r="G351" s="21"/>
      <c r="AA351"/>
      <c r="AB351"/>
      <c r="AC351"/>
      <c r="AD351"/>
      <c r="AE351"/>
      <c r="AF351"/>
    </row>
    <row r="352" spans="7:32">
      <c r="G352" s="21"/>
      <c r="AA352"/>
      <c r="AB352"/>
      <c r="AC352"/>
      <c r="AD352"/>
      <c r="AE352"/>
      <c r="AF352"/>
    </row>
    <row r="353" spans="7:32">
      <c r="G353" s="21"/>
      <c r="AA353"/>
      <c r="AB353"/>
      <c r="AC353"/>
      <c r="AD353"/>
      <c r="AE353"/>
      <c r="AF353"/>
    </row>
    <row r="354" spans="7:32">
      <c r="G354" s="21"/>
      <c r="AA354"/>
      <c r="AB354"/>
      <c r="AC354"/>
      <c r="AD354"/>
      <c r="AE354"/>
      <c r="AF354"/>
    </row>
    <row r="355" spans="7:32">
      <c r="G355" s="21"/>
      <c r="AA355"/>
      <c r="AB355"/>
      <c r="AC355"/>
      <c r="AD355"/>
      <c r="AE355"/>
      <c r="AF355"/>
    </row>
    <row r="356" spans="7:32">
      <c r="G356" s="21"/>
      <c r="AA356"/>
      <c r="AB356"/>
      <c r="AC356"/>
      <c r="AD356"/>
      <c r="AE356"/>
      <c r="AF356"/>
    </row>
    <row r="357" spans="7:32">
      <c r="G357" s="21"/>
      <c r="AA357"/>
      <c r="AB357"/>
      <c r="AC357"/>
      <c r="AD357"/>
      <c r="AE357"/>
      <c r="AF357"/>
    </row>
    <row r="358" spans="7:32">
      <c r="G358" s="21"/>
      <c r="AA358"/>
      <c r="AB358"/>
      <c r="AC358"/>
      <c r="AD358"/>
      <c r="AE358"/>
      <c r="AF358"/>
    </row>
    <row r="359" spans="7:32">
      <c r="G359" s="21"/>
      <c r="AA359"/>
      <c r="AB359"/>
      <c r="AC359"/>
      <c r="AD359"/>
      <c r="AE359"/>
      <c r="AF359"/>
    </row>
    <row r="360" spans="7:32">
      <c r="G360" s="21"/>
      <c r="AA360"/>
      <c r="AB360"/>
      <c r="AC360"/>
      <c r="AD360"/>
      <c r="AE360"/>
      <c r="AF360"/>
    </row>
    <row r="361" spans="7:32">
      <c r="G361" s="21"/>
      <c r="AA361"/>
      <c r="AB361"/>
      <c r="AC361"/>
      <c r="AD361"/>
      <c r="AE361"/>
      <c r="AF361"/>
    </row>
    <row r="362" spans="7:32">
      <c r="G362" s="21"/>
      <c r="AA362"/>
      <c r="AB362"/>
      <c r="AC362"/>
      <c r="AD362"/>
      <c r="AE362"/>
      <c r="AF362"/>
    </row>
    <row r="363" spans="7:32">
      <c r="G363" s="21"/>
      <c r="AA363"/>
      <c r="AB363"/>
      <c r="AC363"/>
      <c r="AD363"/>
      <c r="AE363"/>
      <c r="AF363"/>
    </row>
    <row r="364" spans="7:32">
      <c r="G364" s="21"/>
      <c r="AA364"/>
      <c r="AB364"/>
      <c r="AC364"/>
      <c r="AD364"/>
      <c r="AE364"/>
      <c r="AF364"/>
    </row>
    <row r="365" spans="7:32">
      <c r="G365" s="21"/>
      <c r="AA365"/>
      <c r="AB365"/>
      <c r="AC365"/>
      <c r="AD365"/>
      <c r="AE365"/>
      <c r="AF365"/>
    </row>
    <row r="366" spans="7:32">
      <c r="G366" s="21"/>
      <c r="AA366"/>
      <c r="AB366"/>
      <c r="AC366"/>
      <c r="AD366"/>
      <c r="AE366"/>
      <c r="AF366"/>
    </row>
    <row r="367" spans="7:32">
      <c r="G367" s="21"/>
      <c r="AA367"/>
      <c r="AB367"/>
      <c r="AC367"/>
      <c r="AD367"/>
      <c r="AE367"/>
      <c r="AF367"/>
    </row>
    <row r="368" spans="7:32">
      <c r="G368" s="21"/>
      <c r="AA368"/>
      <c r="AB368"/>
      <c r="AC368"/>
      <c r="AD368"/>
      <c r="AE368"/>
      <c r="AF368"/>
    </row>
    <row r="369" spans="7:32">
      <c r="G369" s="21"/>
      <c r="AA369"/>
      <c r="AB369"/>
      <c r="AC369"/>
      <c r="AD369"/>
      <c r="AE369"/>
      <c r="AF369"/>
    </row>
    <row r="370" spans="7:32">
      <c r="G370" s="21"/>
      <c r="AA370"/>
      <c r="AB370"/>
      <c r="AC370"/>
      <c r="AD370"/>
      <c r="AE370"/>
      <c r="AF370"/>
    </row>
    <row r="371" spans="7:32">
      <c r="G371" s="21"/>
      <c r="AA371"/>
      <c r="AB371"/>
      <c r="AC371"/>
      <c r="AD371"/>
      <c r="AE371"/>
      <c r="AF371"/>
    </row>
    <row r="372" spans="7:32">
      <c r="G372" s="21"/>
      <c r="AA372"/>
      <c r="AB372"/>
      <c r="AC372"/>
      <c r="AD372"/>
      <c r="AE372"/>
      <c r="AF372"/>
    </row>
    <row r="373" spans="7:32">
      <c r="G373" s="21"/>
      <c r="AA373"/>
      <c r="AB373"/>
      <c r="AC373"/>
      <c r="AD373"/>
      <c r="AE373"/>
      <c r="AF373"/>
    </row>
    <row r="374" spans="7:32">
      <c r="G374" s="21"/>
      <c r="AA374"/>
      <c r="AB374"/>
      <c r="AC374"/>
      <c r="AD374"/>
      <c r="AE374"/>
      <c r="AF374"/>
    </row>
    <row r="375" spans="7:32">
      <c r="G375" s="21"/>
      <c r="AA375"/>
      <c r="AB375"/>
      <c r="AC375"/>
      <c r="AD375"/>
      <c r="AE375"/>
      <c r="AF375"/>
    </row>
    <row r="376" spans="7:32">
      <c r="G376" s="21"/>
      <c r="AA376"/>
      <c r="AB376"/>
      <c r="AC376"/>
      <c r="AD376"/>
      <c r="AE376"/>
      <c r="AF376"/>
    </row>
    <row r="377" spans="7:32">
      <c r="G377" s="21"/>
      <c r="AA377"/>
      <c r="AB377"/>
      <c r="AC377"/>
      <c r="AD377"/>
      <c r="AE377"/>
      <c r="AF377"/>
    </row>
    <row r="378" spans="7:32">
      <c r="G378" s="21"/>
      <c r="AA378"/>
      <c r="AB378"/>
      <c r="AC378"/>
      <c r="AD378"/>
      <c r="AE378"/>
      <c r="AF378"/>
    </row>
    <row r="379" spans="7:32">
      <c r="G379" s="21"/>
      <c r="AA379"/>
      <c r="AB379"/>
      <c r="AC379"/>
      <c r="AD379"/>
      <c r="AE379"/>
      <c r="AF379"/>
    </row>
    <row r="380" spans="7:32">
      <c r="G380" s="21"/>
      <c r="AA380"/>
      <c r="AB380"/>
      <c r="AC380"/>
      <c r="AD380"/>
      <c r="AE380"/>
      <c r="AF380"/>
    </row>
    <row r="381" spans="7:32">
      <c r="G381" s="21"/>
      <c r="AA381"/>
      <c r="AB381"/>
      <c r="AC381"/>
      <c r="AD381"/>
      <c r="AE381"/>
      <c r="AF381"/>
    </row>
    <row r="382" spans="7:32">
      <c r="G382" s="21"/>
      <c r="AA382"/>
      <c r="AB382"/>
      <c r="AC382"/>
      <c r="AD382"/>
      <c r="AE382"/>
      <c r="AF382"/>
    </row>
    <row r="383" spans="7:32">
      <c r="G383" s="21"/>
      <c r="AA383"/>
      <c r="AB383"/>
      <c r="AC383"/>
      <c r="AD383"/>
      <c r="AE383"/>
      <c r="AF383"/>
    </row>
    <row r="384" spans="7:32">
      <c r="G384" s="21"/>
      <c r="AA384"/>
      <c r="AB384"/>
      <c r="AC384"/>
      <c r="AD384"/>
      <c r="AE384"/>
      <c r="AF384"/>
    </row>
    <row r="385" spans="7:32">
      <c r="G385" s="21"/>
      <c r="AA385"/>
      <c r="AB385"/>
      <c r="AC385"/>
      <c r="AD385"/>
      <c r="AE385"/>
      <c r="AF385"/>
    </row>
    <row r="386" spans="7:32">
      <c r="G386" s="21"/>
      <c r="AA386"/>
      <c r="AB386"/>
      <c r="AC386"/>
      <c r="AD386"/>
      <c r="AE386"/>
      <c r="AF386"/>
    </row>
    <row r="387" spans="7:32">
      <c r="G387" s="21"/>
      <c r="AA387"/>
      <c r="AB387"/>
      <c r="AC387"/>
      <c r="AD387"/>
      <c r="AE387"/>
      <c r="AF387"/>
    </row>
    <row r="388" spans="7:32">
      <c r="G388" s="21"/>
      <c r="AA388"/>
      <c r="AB388"/>
      <c r="AC388"/>
      <c r="AD388"/>
      <c r="AE388"/>
      <c r="AF388"/>
    </row>
    <row r="389" spans="7:32">
      <c r="G389" s="21"/>
      <c r="AA389"/>
      <c r="AB389"/>
      <c r="AC389"/>
      <c r="AD389"/>
      <c r="AE389"/>
      <c r="AF389"/>
    </row>
    <row r="390" spans="7:32">
      <c r="G390" s="21"/>
      <c r="AA390"/>
      <c r="AB390"/>
      <c r="AC390"/>
      <c r="AD390"/>
      <c r="AE390"/>
      <c r="AF390"/>
    </row>
    <row r="391" spans="7:32">
      <c r="G391" s="21"/>
      <c r="AA391"/>
      <c r="AB391"/>
      <c r="AC391"/>
      <c r="AD391"/>
      <c r="AE391"/>
      <c r="AF391"/>
    </row>
    <row r="392" spans="7:32">
      <c r="G392" s="21"/>
      <c r="AA392"/>
      <c r="AB392"/>
      <c r="AC392"/>
      <c r="AD392"/>
      <c r="AE392"/>
      <c r="AF392"/>
    </row>
    <row r="393" spans="7:32">
      <c r="G393" s="21"/>
      <c r="AA393"/>
      <c r="AB393"/>
      <c r="AC393"/>
      <c r="AD393"/>
      <c r="AE393"/>
      <c r="AF393"/>
    </row>
    <row r="394" spans="7:32">
      <c r="G394" s="21"/>
      <c r="AA394"/>
      <c r="AB394"/>
      <c r="AC394"/>
      <c r="AD394"/>
      <c r="AE394"/>
      <c r="AF394"/>
    </row>
    <row r="395" spans="7:32">
      <c r="G395" s="21"/>
      <c r="AA395"/>
      <c r="AB395"/>
      <c r="AC395"/>
      <c r="AD395"/>
      <c r="AE395"/>
      <c r="AF395"/>
    </row>
    <row r="396" spans="7:32">
      <c r="G396" s="21"/>
      <c r="AA396"/>
      <c r="AB396"/>
      <c r="AC396"/>
      <c r="AD396"/>
      <c r="AE396"/>
      <c r="AF396"/>
    </row>
    <row r="397" spans="7:32">
      <c r="G397" s="21"/>
      <c r="AA397"/>
      <c r="AB397"/>
      <c r="AC397"/>
      <c r="AD397"/>
      <c r="AE397"/>
      <c r="AF397"/>
    </row>
    <row r="398" spans="7:32">
      <c r="G398" s="21"/>
      <c r="AA398"/>
      <c r="AB398"/>
      <c r="AC398"/>
      <c r="AD398"/>
      <c r="AE398"/>
      <c r="AF398"/>
    </row>
    <row r="399" spans="7:32">
      <c r="G399" s="21"/>
      <c r="AA399"/>
      <c r="AB399"/>
      <c r="AC399"/>
      <c r="AD399"/>
      <c r="AE399"/>
      <c r="AF399"/>
    </row>
    <row r="400" spans="7:32">
      <c r="G400" s="21"/>
      <c r="AA400"/>
      <c r="AB400"/>
      <c r="AC400"/>
      <c r="AD400"/>
      <c r="AE400"/>
      <c r="AF400"/>
    </row>
    <row r="401" spans="7:32">
      <c r="G401" s="21"/>
      <c r="AA401"/>
      <c r="AB401"/>
      <c r="AC401"/>
      <c r="AD401"/>
      <c r="AE401"/>
      <c r="AF401"/>
    </row>
    <row r="402" spans="7:32">
      <c r="G402" s="21"/>
      <c r="AA402"/>
      <c r="AB402"/>
      <c r="AC402"/>
      <c r="AD402"/>
      <c r="AE402"/>
      <c r="AF402"/>
    </row>
    <row r="403" spans="7:32">
      <c r="G403" s="21"/>
      <c r="AA403"/>
      <c r="AB403"/>
      <c r="AC403"/>
      <c r="AD403"/>
      <c r="AE403"/>
      <c r="AF403"/>
    </row>
    <row r="404" spans="7:32">
      <c r="G404" s="21"/>
      <c r="AA404"/>
      <c r="AB404"/>
      <c r="AC404"/>
      <c r="AD404"/>
      <c r="AE404"/>
      <c r="AF404"/>
    </row>
    <row r="405" spans="7:32">
      <c r="G405" s="21"/>
      <c r="AA405"/>
      <c r="AB405"/>
      <c r="AC405"/>
      <c r="AD405"/>
      <c r="AE405"/>
      <c r="AF405"/>
    </row>
    <row r="406" spans="7:32">
      <c r="G406" s="21"/>
      <c r="AA406"/>
      <c r="AB406"/>
      <c r="AC406"/>
      <c r="AD406"/>
      <c r="AE406"/>
      <c r="AF406"/>
    </row>
    <row r="407" spans="7:32">
      <c r="G407" s="21"/>
      <c r="AA407"/>
      <c r="AB407"/>
      <c r="AC407"/>
      <c r="AD407"/>
      <c r="AE407"/>
      <c r="AF407"/>
    </row>
    <row r="408" spans="7:32">
      <c r="G408" s="21"/>
      <c r="AA408"/>
      <c r="AB408"/>
      <c r="AC408"/>
      <c r="AD408"/>
      <c r="AE408"/>
      <c r="AF408"/>
    </row>
    <row r="409" spans="7:32">
      <c r="G409" s="21"/>
      <c r="AA409"/>
      <c r="AB409"/>
      <c r="AC409"/>
      <c r="AD409"/>
      <c r="AE409"/>
      <c r="AF409"/>
    </row>
    <row r="410" spans="7:32">
      <c r="G410" s="21"/>
      <c r="AA410"/>
      <c r="AB410"/>
      <c r="AC410"/>
      <c r="AD410"/>
      <c r="AE410"/>
      <c r="AF410"/>
    </row>
    <row r="411" spans="7:32">
      <c r="G411" s="21"/>
      <c r="AA411"/>
      <c r="AB411"/>
      <c r="AC411"/>
      <c r="AD411"/>
      <c r="AE411"/>
      <c r="AF411"/>
    </row>
    <row r="412" spans="7:32">
      <c r="G412" s="21"/>
      <c r="AA412"/>
      <c r="AB412"/>
      <c r="AC412"/>
      <c r="AD412"/>
      <c r="AE412"/>
      <c r="AF412"/>
    </row>
    <row r="413" spans="7:32">
      <c r="G413" s="21"/>
      <c r="AA413"/>
      <c r="AB413"/>
      <c r="AC413"/>
      <c r="AD413"/>
      <c r="AE413"/>
      <c r="AF413"/>
    </row>
    <row r="414" spans="7:32">
      <c r="G414" s="21"/>
      <c r="AA414"/>
      <c r="AB414"/>
      <c r="AC414"/>
      <c r="AD414"/>
      <c r="AE414"/>
      <c r="AF414"/>
    </row>
    <row r="415" spans="7:32">
      <c r="G415" s="21"/>
      <c r="AA415"/>
      <c r="AB415"/>
      <c r="AC415"/>
      <c r="AD415"/>
      <c r="AE415"/>
      <c r="AF415"/>
    </row>
    <row r="416" spans="7:32">
      <c r="G416" s="21"/>
      <c r="AA416"/>
      <c r="AB416"/>
      <c r="AC416"/>
      <c r="AD416"/>
      <c r="AE416"/>
      <c r="AF416"/>
    </row>
    <row r="417" spans="7:32">
      <c r="G417" s="21"/>
      <c r="AA417"/>
      <c r="AB417"/>
      <c r="AC417"/>
      <c r="AD417"/>
      <c r="AE417"/>
      <c r="AF417"/>
    </row>
    <row r="418" spans="7:32">
      <c r="G418" s="21"/>
      <c r="AA418"/>
      <c r="AB418"/>
      <c r="AC418"/>
      <c r="AD418"/>
      <c r="AE418"/>
      <c r="AF418"/>
    </row>
    <row r="419" spans="7:32">
      <c r="G419" s="21"/>
      <c r="AA419"/>
      <c r="AB419"/>
      <c r="AC419"/>
      <c r="AD419"/>
      <c r="AE419"/>
      <c r="AF419"/>
    </row>
    <row r="420" spans="7:32">
      <c r="G420" s="21"/>
      <c r="AA420"/>
      <c r="AB420"/>
      <c r="AC420"/>
      <c r="AD420"/>
      <c r="AE420"/>
      <c r="AF420"/>
    </row>
    <row r="421" spans="7:32">
      <c r="G421" s="21"/>
      <c r="AA421"/>
      <c r="AB421"/>
      <c r="AC421"/>
      <c r="AD421"/>
      <c r="AE421"/>
      <c r="AF421"/>
    </row>
    <row r="422" spans="7:32">
      <c r="G422" s="21"/>
      <c r="AA422"/>
      <c r="AB422"/>
      <c r="AC422"/>
      <c r="AD422"/>
      <c r="AE422"/>
      <c r="AF422"/>
    </row>
    <row r="423" spans="7:32">
      <c r="G423" s="21"/>
      <c r="AA423"/>
      <c r="AB423"/>
      <c r="AC423"/>
      <c r="AD423"/>
      <c r="AE423"/>
      <c r="AF423"/>
    </row>
    <row r="424" spans="7:32">
      <c r="G424" s="21"/>
      <c r="AA424"/>
      <c r="AB424"/>
      <c r="AC424"/>
      <c r="AD424"/>
      <c r="AE424"/>
      <c r="AF424"/>
    </row>
    <row r="425" spans="7:32">
      <c r="G425" s="21"/>
      <c r="AA425"/>
      <c r="AB425"/>
      <c r="AC425"/>
      <c r="AD425"/>
      <c r="AE425"/>
      <c r="AF425"/>
    </row>
    <row r="426" spans="7:32">
      <c r="G426" s="21"/>
      <c r="AA426"/>
      <c r="AB426"/>
      <c r="AC426"/>
      <c r="AD426"/>
      <c r="AE426"/>
      <c r="AF426"/>
    </row>
    <row r="427" spans="7:32">
      <c r="G427" s="21"/>
      <c r="AA427"/>
      <c r="AB427"/>
      <c r="AC427"/>
      <c r="AD427"/>
      <c r="AE427"/>
      <c r="AF427"/>
    </row>
    <row r="428" spans="7:32">
      <c r="G428" s="21"/>
      <c r="AA428"/>
      <c r="AB428"/>
      <c r="AC428"/>
      <c r="AD428"/>
      <c r="AE428"/>
      <c r="AF428"/>
    </row>
    <row r="429" spans="7:32">
      <c r="G429" s="21"/>
      <c r="AA429"/>
      <c r="AB429"/>
      <c r="AC429"/>
      <c r="AD429"/>
      <c r="AE429"/>
      <c r="AF429"/>
    </row>
    <row r="430" spans="7:32">
      <c r="G430" s="21"/>
      <c r="AA430"/>
      <c r="AB430"/>
      <c r="AC430"/>
      <c r="AD430"/>
      <c r="AE430"/>
      <c r="AF430"/>
    </row>
    <row r="431" spans="7:32">
      <c r="G431" s="21"/>
      <c r="AA431"/>
      <c r="AB431"/>
      <c r="AC431"/>
      <c r="AD431"/>
      <c r="AE431"/>
      <c r="AF431"/>
    </row>
    <row r="432" spans="7:32">
      <c r="G432" s="21"/>
      <c r="AA432"/>
      <c r="AB432"/>
      <c r="AC432"/>
      <c r="AD432"/>
      <c r="AE432"/>
      <c r="AF432"/>
    </row>
    <row r="433" spans="7:32">
      <c r="G433" s="21"/>
      <c r="AA433"/>
      <c r="AB433"/>
      <c r="AC433"/>
      <c r="AD433"/>
      <c r="AE433"/>
      <c r="AF433"/>
    </row>
    <row r="434" spans="7:32">
      <c r="G434" s="21"/>
      <c r="AA434"/>
      <c r="AB434"/>
      <c r="AC434"/>
      <c r="AD434"/>
      <c r="AE434"/>
      <c r="AF434"/>
    </row>
    <row r="435" spans="7:32">
      <c r="G435" s="21"/>
      <c r="AA435"/>
      <c r="AB435"/>
      <c r="AC435"/>
      <c r="AD435"/>
      <c r="AE435"/>
      <c r="AF435"/>
    </row>
    <row r="436" spans="7:32">
      <c r="G436" s="21"/>
      <c r="AA436"/>
      <c r="AB436"/>
      <c r="AC436"/>
      <c r="AD436"/>
      <c r="AE436"/>
      <c r="AF436"/>
    </row>
    <row r="437" spans="7:32">
      <c r="G437" s="21"/>
      <c r="AA437"/>
      <c r="AB437"/>
      <c r="AC437"/>
      <c r="AD437"/>
      <c r="AE437"/>
      <c r="AF437"/>
    </row>
    <row r="438" spans="7:32">
      <c r="G438" s="21"/>
      <c r="AA438"/>
      <c r="AB438"/>
      <c r="AC438"/>
      <c r="AD438"/>
      <c r="AE438"/>
      <c r="AF438"/>
    </row>
    <row r="439" spans="7:32">
      <c r="G439" s="21"/>
      <c r="AA439"/>
      <c r="AB439"/>
      <c r="AC439"/>
      <c r="AD439"/>
      <c r="AE439"/>
      <c r="AF439"/>
    </row>
    <row r="440" spans="7:32">
      <c r="G440" s="21"/>
      <c r="AA440"/>
      <c r="AB440"/>
      <c r="AC440"/>
      <c r="AD440"/>
      <c r="AE440"/>
      <c r="AF440"/>
    </row>
    <row r="441" spans="7:32">
      <c r="G441" s="21"/>
      <c r="AA441"/>
      <c r="AB441"/>
      <c r="AC441"/>
      <c r="AD441"/>
      <c r="AE441"/>
      <c r="AF441"/>
    </row>
    <row r="442" spans="7:32">
      <c r="G442" s="21"/>
      <c r="AA442"/>
      <c r="AB442"/>
      <c r="AC442"/>
      <c r="AD442"/>
      <c r="AE442"/>
      <c r="AF442"/>
    </row>
    <row r="443" spans="7:32">
      <c r="G443" s="21"/>
      <c r="AA443"/>
      <c r="AB443"/>
      <c r="AC443"/>
      <c r="AD443"/>
      <c r="AE443"/>
      <c r="AF443"/>
    </row>
    <row r="444" spans="7:32">
      <c r="G444" s="21"/>
      <c r="AA444"/>
      <c r="AB444"/>
      <c r="AC444"/>
      <c r="AD444"/>
      <c r="AE444"/>
      <c r="AF444"/>
    </row>
    <row r="445" spans="7:32">
      <c r="G445" s="21"/>
      <c r="AA445"/>
      <c r="AB445"/>
      <c r="AC445"/>
      <c r="AD445"/>
      <c r="AE445"/>
      <c r="AF445"/>
    </row>
    <row r="446" spans="7:32">
      <c r="G446" s="21"/>
      <c r="AA446"/>
      <c r="AB446"/>
      <c r="AC446"/>
      <c r="AD446"/>
      <c r="AE446"/>
      <c r="AF446"/>
    </row>
    <row r="447" spans="7:32">
      <c r="G447" s="21"/>
      <c r="AA447"/>
      <c r="AB447"/>
      <c r="AC447"/>
      <c r="AD447"/>
      <c r="AE447"/>
      <c r="AF447"/>
    </row>
    <row r="448" spans="7:32">
      <c r="G448" s="21"/>
      <c r="AA448"/>
      <c r="AB448"/>
      <c r="AC448"/>
      <c r="AD448"/>
      <c r="AE448"/>
      <c r="AF448"/>
    </row>
    <row r="449" spans="7:32">
      <c r="G449" s="21"/>
      <c r="AA449"/>
      <c r="AB449"/>
      <c r="AC449"/>
      <c r="AD449"/>
      <c r="AE449"/>
      <c r="AF449"/>
    </row>
    <row r="450" spans="7:32">
      <c r="G450" s="21"/>
      <c r="AA450"/>
      <c r="AB450"/>
      <c r="AC450"/>
      <c r="AD450"/>
      <c r="AE450"/>
      <c r="AF450"/>
    </row>
    <row r="451" spans="7:32">
      <c r="G451" s="21"/>
      <c r="AA451"/>
      <c r="AB451"/>
      <c r="AC451"/>
      <c r="AD451"/>
      <c r="AE451"/>
      <c r="AF451"/>
    </row>
    <row r="452" spans="7:32">
      <c r="G452" s="21"/>
      <c r="AA452"/>
      <c r="AB452"/>
      <c r="AC452"/>
      <c r="AD452"/>
      <c r="AE452"/>
      <c r="AF452"/>
    </row>
    <row r="453" spans="7:32">
      <c r="G453" s="21"/>
      <c r="AA453"/>
      <c r="AB453"/>
      <c r="AC453"/>
      <c r="AD453"/>
      <c r="AE453"/>
      <c r="AF453"/>
    </row>
    <row r="454" spans="7:32">
      <c r="G454" s="21"/>
      <c r="AA454"/>
      <c r="AB454"/>
      <c r="AC454"/>
      <c r="AD454"/>
      <c r="AE454"/>
      <c r="AF454"/>
    </row>
    <row r="455" spans="7:32">
      <c r="G455" s="21"/>
      <c r="AA455"/>
      <c r="AB455"/>
      <c r="AC455"/>
      <c r="AD455"/>
      <c r="AE455"/>
      <c r="AF455"/>
    </row>
    <row r="456" spans="7:32">
      <c r="G456" s="21"/>
      <c r="AA456"/>
      <c r="AB456"/>
      <c r="AC456"/>
      <c r="AD456"/>
      <c r="AE456"/>
      <c r="AF456"/>
    </row>
    <row r="457" spans="7:32">
      <c r="G457" s="21"/>
      <c r="AA457"/>
      <c r="AB457"/>
      <c r="AC457"/>
      <c r="AD457"/>
      <c r="AE457"/>
      <c r="AF457"/>
    </row>
    <row r="458" spans="7:32">
      <c r="G458" s="21"/>
      <c r="AA458"/>
      <c r="AB458"/>
      <c r="AC458"/>
      <c r="AD458"/>
      <c r="AE458"/>
      <c r="AF458"/>
    </row>
    <row r="459" spans="7:32">
      <c r="G459" s="21"/>
      <c r="AA459"/>
      <c r="AB459"/>
      <c r="AC459"/>
      <c r="AD459"/>
      <c r="AE459"/>
      <c r="AF459"/>
    </row>
    <row r="460" spans="7:32">
      <c r="G460" s="21"/>
      <c r="AA460"/>
      <c r="AB460"/>
      <c r="AC460"/>
      <c r="AD460"/>
      <c r="AE460"/>
      <c r="AF460"/>
    </row>
    <row r="461" spans="7:32">
      <c r="G461" s="21"/>
      <c r="AA461"/>
      <c r="AB461"/>
      <c r="AC461"/>
      <c r="AD461"/>
      <c r="AE461"/>
      <c r="AF461"/>
    </row>
    <row r="462" spans="7:32">
      <c r="G462" s="21"/>
      <c r="AA462"/>
      <c r="AB462"/>
      <c r="AC462"/>
      <c r="AD462"/>
      <c r="AE462"/>
      <c r="AF462"/>
    </row>
    <row r="463" spans="7:32">
      <c r="G463" s="21"/>
      <c r="AA463"/>
      <c r="AB463"/>
      <c r="AC463"/>
      <c r="AD463"/>
      <c r="AE463"/>
      <c r="AF463"/>
    </row>
    <row r="464" spans="7:32">
      <c r="G464" s="21"/>
      <c r="AA464"/>
      <c r="AB464"/>
      <c r="AC464"/>
      <c r="AD464"/>
      <c r="AE464"/>
      <c r="AF464"/>
    </row>
    <row r="465" spans="7:32">
      <c r="G465" s="21"/>
      <c r="AA465"/>
      <c r="AB465"/>
      <c r="AC465"/>
      <c r="AD465"/>
      <c r="AE465"/>
      <c r="AF465"/>
    </row>
    <row r="466" spans="7:32">
      <c r="G466" s="21"/>
      <c r="AA466"/>
      <c r="AB466"/>
      <c r="AC466"/>
      <c r="AD466"/>
      <c r="AE466"/>
      <c r="AF466"/>
    </row>
    <row r="467" spans="7:32">
      <c r="G467" s="21"/>
      <c r="AA467"/>
      <c r="AB467"/>
      <c r="AC467"/>
      <c r="AD467"/>
      <c r="AE467"/>
      <c r="AF467"/>
    </row>
    <row r="468" spans="7:32">
      <c r="G468" s="21"/>
      <c r="AA468"/>
      <c r="AB468"/>
      <c r="AC468"/>
      <c r="AD468"/>
      <c r="AE468"/>
      <c r="AF468"/>
    </row>
    <row r="469" spans="7:32">
      <c r="G469" s="21"/>
      <c r="AA469"/>
      <c r="AB469"/>
      <c r="AC469"/>
      <c r="AD469"/>
      <c r="AE469"/>
      <c r="AF469"/>
    </row>
    <row r="470" spans="7:32">
      <c r="G470" s="21"/>
      <c r="AA470"/>
      <c r="AB470"/>
      <c r="AC470"/>
      <c r="AD470"/>
      <c r="AE470"/>
      <c r="AF470"/>
    </row>
    <row r="471" spans="7:32">
      <c r="G471" s="21"/>
      <c r="AA471"/>
      <c r="AB471"/>
      <c r="AC471"/>
      <c r="AD471"/>
      <c r="AE471"/>
      <c r="AF471"/>
    </row>
    <row r="472" spans="7:32">
      <c r="G472" s="21"/>
      <c r="AA472"/>
      <c r="AB472"/>
      <c r="AC472"/>
      <c r="AD472"/>
      <c r="AE472"/>
      <c r="AF472"/>
    </row>
    <row r="473" spans="7:32">
      <c r="G473" s="21"/>
      <c r="AA473"/>
      <c r="AB473"/>
      <c r="AC473"/>
      <c r="AD473"/>
      <c r="AE473"/>
      <c r="AF473"/>
    </row>
    <row r="474" spans="7:32">
      <c r="G474" s="21"/>
      <c r="AA474"/>
      <c r="AB474"/>
      <c r="AC474"/>
      <c r="AD474"/>
      <c r="AE474"/>
      <c r="AF474"/>
    </row>
    <row r="475" spans="7:32">
      <c r="G475" s="21"/>
      <c r="AA475"/>
      <c r="AB475"/>
      <c r="AC475"/>
      <c r="AD475"/>
      <c r="AE475"/>
      <c r="AF475"/>
    </row>
    <row r="476" spans="7:32">
      <c r="G476" s="21"/>
      <c r="AA476"/>
      <c r="AB476"/>
      <c r="AC476"/>
      <c r="AD476"/>
      <c r="AE476"/>
      <c r="AF476"/>
    </row>
    <row r="477" spans="7:32">
      <c r="G477" s="21"/>
      <c r="AA477"/>
      <c r="AB477"/>
      <c r="AC477"/>
      <c r="AD477"/>
      <c r="AE477"/>
      <c r="AF477"/>
    </row>
    <row r="478" spans="7:32">
      <c r="G478" s="21"/>
      <c r="AA478"/>
      <c r="AB478"/>
      <c r="AC478"/>
      <c r="AD478"/>
      <c r="AE478"/>
      <c r="AF478"/>
    </row>
    <row r="479" spans="7:32">
      <c r="G479" s="21"/>
      <c r="AA479"/>
      <c r="AB479"/>
      <c r="AC479"/>
      <c r="AD479"/>
      <c r="AE479"/>
      <c r="AF479"/>
    </row>
    <row r="480" spans="7:32">
      <c r="G480" s="21"/>
      <c r="AA480"/>
      <c r="AB480"/>
      <c r="AC480"/>
      <c r="AD480"/>
      <c r="AE480"/>
      <c r="AF480"/>
    </row>
    <row r="481" spans="7:32">
      <c r="G481" s="21"/>
      <c r="AA481"/>
      <c r="AB481"/>
      <c r="AC481"/>
      <c r="AD481"/>
      <c r="AE481"/>
      <c r="AF481"/>
    </row>
    <row r="482" spans="7:32">
      <c r="G482" s="21"/>
      <c r="AA482"/>
      <c r="AB482"/>
      <c r="AC482"/>
      <c r="AD482"/>
      <c r="AE482"/>
      <c r="AF482"/>
    </row>
    <row r="483" spans="7:32">
      <c r="G483" s="21"/>
      <c r="AA483"/>
      <c r="AB483"/>
      <c r="AC483"/>
      <c r="AD483"/>
      <c r="AE483"/>
      <c r="AF483"/>
    </row>
    <row r="484" spans="7:32">
      <c r="G484" s="21"/>
      <c r="AA484"/>
      <c r="AB484"/>
      <c r="AC484"/>
      <c r="AD484"/>
      <c r="AE484"/>
      <c r="AF484"/>
    </row>
    <row r="485" spans="7:32">
      <c r="G485" s="21"/>
      <c r="AA485"/>
      <c r="AB485"/>
      <c r="AC485"/>
      <c r="AD485"/>
      <c r="AE485"/>
      <c r="AF485"/>
    </row>
    <row r="486" spans="7:32">
      <c r="G486" s="21"/>
      <c r="AA486"/>
      <c r="AB486"/>
      <c r="AC486"/>
      <c r="AD486"/>
      <c r="AE486"/>
      <c r="AF486"/>
    </row>
    <row r="487" spans="7:32">
      <c r="G487" s="21"/>
      <c r="AA487"/>
      <c r="AB487"/>
      <c r="AC487"/>
      <c r="AD487"/>
      <c r="AE487"/>
      <c r="AF487"/>
    </row>
    <row r="488" spans="7:32">
      <c r="G488" s="21"/>
      <c r="AA488"/>
      <c r="AB488"/>
      <c r="AC488"/>
      <c r="AD488"/>
      <c r="AE488"/>
      <c r="AF488"/>
    </row>
    <row r="489" spans="7:32">
      <c r="G489" s="21"/>
      <c r="AA489"/>
      <c r="AB489"/>
      <c r="AC489"/>
      <c r="AD489"/>
      <c r="AE489"/>
      <c r="AF489"/>
    </row>
    <row r="490" spans="7:32">
      <c r="G490" s="21"/>
      <c r="AA490"/>
      <c r="AB490"/>
      <c r="AC490"/>
      <c r="AD490"/>
      <c r="AE490"/>
      <c r="AF490"/>
    </row>
    <row r="491" spans="7:32">
      <c r="G491" s="21"/>
      <c r="AA491"/>
      <c r="AB491"/>
      <c r="AC491"/>
      <c r="AD491"/>
      <c r="AE491"/>
      <c r="AF491"/>
    </row>
    <row r="492" spans="7:32">
      <c r="G492" s="21"/>
      <c r="AA492"/>
      <c r="AB492"/>
      <c r="AC492"/>
      <c r="AD492"/>
      <c r="AE492"/>
      <c r="AF492"/>
    </row>
    <row r="493" spans="7:32">
      <c r="G493" s="21"/>
      <c r="AA493"/>
      <c r="AB493"/>
      <c r="AC493"/>
      <c r="AD493"/>
      <c r="AE493"/>
      <c r="AF493"/>
    </row>
    <row r="494" spans="7:32">
      <c r="G494" s="21"/>
      <c r="AA494"/>
      <c r="AB494"/>
      <c r="AC494"/>
      <c r="AD494"/>
      <c r="AE494"/>
      <c r="AF494"/>
    </row>
    <row r="495" spans="7:32">
      <c r="G495" s="21"/>
      <c r="AA495"/>
      <c r="AB495"/>
      <c r="AC495"/>
      <c r="AD495"/>
      <c r="AE495"/>
      <c r="AF495"/>
    </row>
    <row r="496" spans="7:32">
      <c r="G496" s="21"/>
      <c r="AA496"/>
      <c r="AB496"/>
      <c r="AC496"/>
      <c r="AD496"/>
      <c r="AE496"/>
      <c r="AF496"/>
    </row>
    <row r="497" spans="7:32">
      <c r="G497" s="21"/>
      <c r="AA497"/>
      <c r="AB497"/>
      <c r="AC497"/>
      <c r="AD497"/>
      <c r="AE497"/>
      <c r="AF497"/>
    </row>
    <row r="498" spans="7:32">
      <c r="G498" s="21"/>
      <c r="AA498"/>
      <c r="AB498"/>
      <c r="AC498"/>
      <c r="AD498"/>
      <c r="AE498"/>
      <c r="AF498"/>
    </row>
    <row r="499" spans="7:32">
      <c r="G499" s="21"/>
      <c r="AA499"/>
      <c r="AB499"/>
      <c r="AC499"/>
      <c r="AD499"/>
      <c r="AE499"/>
      <c r="AF499"/>
    </row>
    <row r="500" spans="7:32">
      <c r="G500" s="21"/>
      <c r="AA500"/>
      <c r="AB500"/>
      <c r="AC500"/>
      <c r="AD500"/>
      <c r="AE500"/>
      <c r="AF500"/>
    </row>
    <row r="501" spans="7:32">
      <c r="G501" s="21"/>
      <c r="AA501"/>
      <c r="AB501"/>
      <c r="AC501"/>
      <c r="AD501"/>
      <c r="AE501"/>
      <c r="AF501"/>
    </row>
    <row r="502" spans="7:32">
      <c r="G502" s="21"/>
      <c r="AA502"/>
      <c r="AB502"/>
      <c r="AC502"/>
      <c r="AD502"/>
      <c r="AE502"/>
      <c r="AF502"/>
    </row>
    <row r="503" spans="7:32">
      <c r="G503" s="21"/>
      <c r="AA503"/>
      <c r="AB503"/>
      <c r="AC503"/>
      <c r="AD503"/>
      <c r="AE503"/>
      <c r="AF503"/>
    </row>
    <row r="504" spans="7:32">
      <c r="G504" s="21"/>
      <c r="AA504"/>
      <c r="AB504"/>
      <c r="AC504"/>
      <c r="AD504"/>
      <c r="AE504"/>
      <c r="AF504"/>
    </row>
    <row r="505" spans="7:32">
      <c r="G505" s="21"/>
      <c r="AA505"/>
      <c r="AB505"/>
      <c r="AC505"/>
      <c r="AD505"/>
      <c r="AE505"/>
      <c r="AF505"/>
    </row>
    <row r="506" spans="7:32">
      <c r="G506" s="21"/>
      <c r="AA506"/>
      <c r="AB506"/>
      <c r="AC506"/>
      <c r="AD506"/>
      <c r="AE506"/>
      <c r="AF506"/>
    </row>
    <row r="507" spans="7:32">
      <c r="G507" s="21"/>
      <c r="AA507"/>
      <c r="AB507"/>
      <c r="AC507"/>
      <c r="AD507"/>
      <c r="AE507"/>
      <c r="AF507"/>
    </row>
    <row r="508" spans="7:32">
      <c r="G508" s="21"/>
      <c r="AA508"/>
      <c r="AB508"/>
      <c r="AC508"/>
      <c r="AD508"/>
      <c r="AE508"/>
      <c r="AF508"/>
    </row>
    <row r="509" spans="7:32">
      <c r="G509" s="21"/>
      <c r="AA509"/>
      <c r="AB509"/>
      <c r="AC509"/>
      <c r="AD509"/>
      <c r="AE509"/>
      <c r="AF509"/>
    </row>
    <row r="510" spans="7:32">
      <c r="G510" s="21"/>
      <c r="AA510"/>
      <c r="AB510"/>
      <c r="AC510"/>
      <c r="AD510"/>
      <c r="AE510"/>
      <c r="AF510"/>
    </row>
    <row r="511" spans="7:32">
      <c r="G511" s="21"/>
      <c r="AA511"/>
      <c r="AB511"/>
      <c r="AC511"/>
      <c r="AD511"/>
      <c r="AE511"/>
      <c r="AF511"/>
    </row>
    <row r="512" spans="7:32">
      <c r="G512" s="21"/>
      <c r="AA512"/>
      <c r="AB512"/>
      <c r="AC512"/>
      <c r="AD512"/>
      <c r="AE512"/>
      <c r="AF512"/>
    </row>
    <row r="513" spans="7:32">
      <c r="G513" s="21"/>
      <c r="AA513"/>
      <c r="AB513"/>
      <c r="AC513"/>
      <c r="AD513"/>
      <c r="AE513"/>
      <c r="AF513"/>
    </row>
    <row r="514" spans="7:32">
      <c r="G514" s="21"/>
      <c r="AA514"/>
      <c r="AB514"/>
      <c r="AC514"/>
      <c r="AD514"/>
      <c r="AE514"/>
      <c r="AF514"/>
    </row>
    <row r="515" spans="7:32">
      <c r="G515" s="21"/>
      <c r="AA515"/>
      <c r="AB515"/>
      <c r="AC515"/>
      <c r="AD515"/>
      <c r="AE515"/>
      <c r="AF515"/>
    </row>
    <row r="516" spans="7:32">
      <c r="G516" s="21"/>
      <c r="AA516"/>
      <c r="AB516"/>
      <c r="AC516"/>
      <c r="AD516"/>
      <c r="AE516"/>
      <c r="AF516"/>
    </row>
    <row r="517" spans="7:32">
      <c r="G517" s="21"/>
      <c r="AA517"/>
      <c r="AB517"/>
      <c r="AC517"/>
      <c r="AD517"/>
      <c r="AE517"/>
      <c r="AF517"/>
    </row>
    <row r="518" spans="7:32">
      <c r="G518" s="21"/>
      <c r="AA518"/>
      <c r="AB518"/>
      <c r="AC518"/>
      <c r="AD518"/>
      <c r="AE518"/>
      <c r="AF518"/>
    </row>
    <row r="519" spans="7:32">
      <c r="G519" s="21"/>
      <c r="AA519"/>
      <c r="AB519"/>
      <c r="AC519"/>
      <c r="AD519"/>
      <c r="AE519"/>
      <c r="AF519"/>
    </row>
    <row r="520" spans="7:32">
      <c r="G520" s="21"/>
      <c r="AA520"/>
      <c r="AB520"/>
      <c r="AC520"/>
      <c r="AD520"/>
      <c r="AE520"/>
      <c r="AF520"/>
    </row>
    <row r="521" spans="7:32">
      <c r="G521" s="21"/>
      <c r="AA521"/>
      <c r="AB521"/>
      <c r="AC521"/>
      <c r="AD521"/>
      <c r="AE521"/>
      <c r="AF521"/>
    </row>
    <row r="522" spans="7:32">
      <c r="G522" s="21"/>
      <c r="AA522"/>
      <c r="AB522"/>
      <c r="AC522"/>
      <c r="AD522"/>
      <c r="AE522"/>
      <c r="AF522"/>
    </row>
    <row r="523" spans="7:32">
      <c r="G523" s="21"/>
      <c r="AA523"/>
      <c r="AB523"/>
      <c r="AC523"/>
      <c r="AD523"/>
      <c r="AE523"/>
      <c r="AF523"/>
    </row>
    <row r="524" spans="7:32">
      <c r="G524" s="21"/>
      <c r="AA524"/>
      <c r="AB524"/>
      <c r="AC524"/>
      <c r="AD524"/>
      <c r="AE524"/>
      <c r="AF524"/>
    </row>
    <row r="525" spans="7:32">
      <c r="G525" s="21"/>
      <c r="AA525"/>
      <c r="AB525"/>
      <c r="AC525"/>
      <c r="AD525"/>
      <c r="AE525"/>
      <c r="AF525"/>
    </row>
    <row r="526" spans="7:32">
      <c r="G526" s="21"/>
      <c r="AA526"/>
      <c r="AB526"/>
      <c r="AC526"/>
      <c r="AD526"/>
      <c r="AE526"/>
      <c r="AF526"/>
    </row>
    <row r="527" spans="7:32">
      <c r="G527" s="21"/>
      <c r="AA527"/>
      <c r="AB527"/>
      <c r="AC527"/>
      <c r="AD527"/>
      <c r="AE527"/>
      <c r="AF527"/>
    </row>
    <row r="528" spans="7:32">
      <c r="G528" s="21"/>
      <c r="AA528"/>
      <c r="AB528"/>
      <c r="AC528"/>
      <c r="AD528"/>
      <c r="AE528"/>
      <c r="AF528"/>
    </row>
    <row r="529" spans="7:32">
      <c r="G529" s="21"/>
      <c r="AA529"/>
      <c r="AB529"/>
      <c r="AC529"/>
      <c r="AD529"/>
      <c r="AE529"/>
      <c r="AF529"/>
    </row>
    <row r="530" spans="7:32">
      <c r="G530" s="21"/>
      <c r="AA530"/>
      <c r="AB530"/>
      <c r="AC530"/>
      <c r="AD530"/>
      <c r="AE530"/>
      <c r="AF530"/>
    </row>
    <row r="531" spans="7:32">
      <c r="G531" s="21"/>
      <c r="AA531"/>
      <c r="AB531"/>
      <c r="AC531"/>
      <c r="AD531"/>
      <c r="AE531"/>
      <c r="AF531"/>
    </row>
    <row r="532" spans="7:32">
      <c r="G532" s="21"/>
      <c r="AA532"/>
      <c r="AB532"/>
      <c r="AC532"/>
      <c r="AD532"/>
      <c r="AE532"/>
      <c r="AF532"/>
    </row>
    <row r="533" spans="7:32">
      <c r="G533" s="21"/>
      <c r="AA533"/>
      <c r="AB533"/>
      <c r="AC533"/>
      <c r="AD533"/>
      <c r="AE533"/>
      <c r="AF533"/>
    </row>
    <row r="534" spans="7:32">
      <c r="G534" s="21"/>
      <c r="AA534"/>
      <c r="AB534"/>
      <c r="AC534"/>
      <c r="AD534"/>
      <c r="AE534"/>
      <c r="AF534"/>
    </row>
    <row r="535" spans="7:32">
      <c r="G535" s="21"/>
      <c r="AA535"/>
      <c r="AB535"/>
      <c r="AC535"/>
      <c r="AD535"/>
      <c r="AE535"/>
      <c r="AF535"/>
    </row>
    <row r="536" spans="7:32">
      <c r="G536" s="21"/>
      <c r="AA536"/>
      <c r="AB536"/>
      <c r="AC536"/>
      <c r="AD536"/>
      <c r="AE536"/>
      <c r="AF536"/>
    </row>
    <row r="537" spans="7:32">
      <c r="G537" s="21"/>
      <c r="AA537"/>
      <c r="AB537"/>
      <c r="AC537"/>
      <c r="AD537"/>
      <c r="AE537"/>
      <c r="AF537"/>
    </row>
    <row r="538" spans="7:32">
      <c r="G538" s="21"/>
      <c r="AA538"/>
      <c r="AB538"/>
      <c r="AC538"/>
      <c r="AD538"/>
      <c r="AE538"/>
      <c r="AF538"/>
    </row>
    <row r="539" spans="7:32">
      <c r="G539" s="21"/>
      <c r="AA539"/>
      <c r="AB539"/>
      <c r="AC539"/>
      <c r="AD539"/>
      <c r="AE539"/>
      <c r="AF539"/>
    </row>
    <row r="540" spans="7:32">
      <c r="G540" s="21"/>
      <c r="AA540"/>
      <c r="AB540"/>
      <c r="AC540"/>
      <c r="AD540"/>
      <c r="AE540"/>
      <c r="AF540"/>
    </row>
    <row r="541" spans="7:32">
      <c r="G541" s="21"/>
      <c r="AA541"/>
      <c r="AB541"/>
      <c r="AC541"/>
      <c r="AD541"/>
      <c r="AE541"/>
      <c r="AF541"/>
    </row>
    <row r="542" spans="7:32">
      <c r="G542" s="21"/>
      <c r="AA542"/>
      <c r="AB542"/>
      <c r="AC542"/>
      <c r="AD542"/>
      <c r="AE542"/>
      <c r="AF542"/>
    </row>
    <row r="543" spans="7:32">
      <c r="G543" s="21"/>
      <c r="AA543"/>
      <c r="AB543"/>
      <c r="AC543"/>
      <c r="AD543"/>
      <c r="AE543"/>
      <c r="AF543"/>
    </row>
    <row r="544" spans="7:32">
      <c r="G544" s="21"/>
      <c r="AA544"/>
      <c r="AB544"/>
      <c r="AC544"/>
      <c r="AD544"/>
      <c r="AE544"/>
      <c r="AF544"/>
    </row>
    <row r="545" spans="7:32">
      <c r="G545" s="21"/>
      <c r="AA545"/>
      <c r="AB545"/>
      <c r="AC545"/>
      <c r="AD545"/>
      <c r="AE545"/>
      <c r="AF545"/>
    </row>
    <row r="546" spans="7:32">
      <c r="G546" s="21"/>
      <c r="AA546"/>
      <c r="AB546"/>
      <c r="AC546"/>
      <c r="AD546"/>
      <c r="AE546"/>
      <c r="AF546"/>
    </row>
    <row r="547" spans="7:32">
      <c r="G547" s="21"/>
      <c r="AA547"/>
      <c r="AB547"/>
      <c r="AC547"/>
      <c r="AD547"/>
      <c r="AE547"/>
      <c r="AF547"/>
    </row>
    <row r="548" spans="7:32">
      <c r="G548" s="21"/>
      <c r="AA548"/>
      <c r="AB548"/>
      <c r="AC548"/>
      <c r="AD548"/>
      <c r="AE548"/>
      <c r="AF548"/>
    </row>
    <row r="549" spans="7:32">
      <c r="G549" s="21"/>
      <c r="AA549"/>
      <c r="AB549"/>
      <c r="AC549"/>
      <c r="AD549"/>
      <c r="AE549"/>
      <c r="AF549"/>
    </row>
    <row r="550" spans="7:32">
      <c r="G550" s="21"/>
      <c r="AA550"/>
      <c r="AB550"/>
      <c r="AC550"/>
      <c r="AD550"/>
      <c r="AE550"/>
      <c r="AF550"/>
    </row>
    <row r="551" spans="7:32">
      <c r="G551" s="21"/>
      <c r="AA551"/>
      <c r="AB551"/>
      <c r="AC551"/>
      <c r="AD551"/>
      <c r="AE551"/>
      <c r="AF551"/>
    </row>
    <row r="552" spans="7:32">
      <c r="G552" s="21"/>
      <c r="AA552"/>
      <c r="AB552"/>
      <c r="AC552"/>
      <c r="AD552"/>
      <c r="AE552"/>
      <c r="AF552"/>
    </row>
    <row r="553" spans="7:32">
      <c r="G553" s="21"/>
      <c r="AA553"/>
      <c r="AB553"/>
      <c r="AC553"/>
      <c r="AD553"/>
      <c r="AE553"/>
      <c r="AF553"/>
    </row>
    <row r="554" spans="7:32">
      <c r="G554" s="21"/>
      <c r="AA554"/>
      <c r="AB554"/>
      <c r="AC554"/>
      <c r="AD554"/>
      <c r="AE554"/>
      <c r="AF554"/>
    </row>
    <row r="555" spans="7:32">
      <c r="G555" s="21"/>
      <c r="AA555"/>
      <c r="AB555"/>
      <c r="AC555"/>
      <c r="AD555"/>
      <c r="AE555"/>
      <c r="AF555"/>
    </row>
    <row r="556" spans="7:32">
      <c r="G556" s="21"/>
      <c r="AA556"/>
      <c r="AB556"/>
      <c r="AC556"/>
      <c r="AD556"/>
      <c r="AE556"/>
      <c r="AF556"/>
    </row>
    <row r="557" spans="7:32">
      <c r="G557" s="21"/>
      <c r="AA557"/>
      <c r="AB557"/>
      <c r="AC557"/>
      <c r="AD557"/>
      <c r="AE557"/>
      <c r="AF557"/>
    </row>
    <row r="558" spans="7:32">
      <c r="G558" s="21"/>
      <c r="AA558"/>
      <c r="AB558"/>
      <c r="AC558"/>
      <c r="AD558"/>
      <c r="AE558"/>
      <c r="AF558"/>
    </row>
    <row r="559" spans="7:32">
      <c r="G559" s="21"/>
      <c r="AA559"/>
      <c r="AB559"/>
      <c r="AC559"/>
      <c r="AD559"/>
      <c r="AE559"/>
      <c r="AF559"/>
    </row>
    <row r="560" spans="7:32">
      <c r="G560" s="21"/>
      <c r="AA560"/>
      <c r="AB560"/>
      <c r="AC560"/>
      <c r="AD560"/>
      <c r="AE560"/>
      <c r="AF560"/>
    </row>
    <row r="561" spans="7:32">
      <c r="G561" s="21"/>
      <c r="AA561"/>
      <c r="AB561"/>
      <c r="AC561"/>
      <c r="AD561"/>
      <c r="AE561"/>
      <c r="AF561"/>
    </row>
    <row r="562" spans="7:32">
      <c r="G562" s="21"/>
      <c r="AA562"/>
      <c r="AB562"/>
      <c r="AC562"/>
      <c r="AD562"/>
      <c r="AE562"/>
      <c r="AF562"/>
    </row>
    <row r="563" spans="7:32">
      <c r="G563" s="21"/>
      <c r="AA563"/>
      <c r="AB563"/>
      <c r="AC563"/>
      <c r="AD563"/>
      <c r="AE563"/>
      <c r="AF563"/>
    </row>
    <row r="564" spans="7:32">
      <c r="G564" s="21"/>
      <c r="AA564"/>
      <c r="AB564"/>
      <c r="AC564"/>
      <c r="AD564"/>
      <c r="AE564"/>
      <c r="AF564"/>
    </row>
    <row r="565" spans="7:32">
      <c r="G565" s="21"/>
      <c r="AA565"/>
      <c r="AB565"/>
      <c r="AC565"/>
      <c r="AD565"/>
      <c r="AE565"/>
      <c r="AF565"/>
    </row>
    <row r="566" spans="7:32">
      <c r="G566" s="21"/>
      <c r="AA566"/>
      <c r="AB566"/>
      <c r="AC566"/>
      <c r="AD566"/>
      <c r="AE566"/>
      <c r="AF566"/>
    </row>
    <row r="567" spans="7:32">
      <c r="G567" s="21"/>
      <c r="AA567"/>
      <c r="AB567"/>
      <c r="AC567"/>
      <c r="AD567"/>
      <c r="AE567"/>
      <c r="AF567"/>
    </row>
    <row r="568" spans="7:32">
      <c r="G568" s="21"/>
      <c r="AA568"/>
      <c r="AB568"/>
      <c r="AC568"/>
      <c r="AD568"/>
      <c r="AE568"/>
      <c r="AF568"/>
    </row>
    <row r="569" spans="7:32">
      <c r="G569" s="21"/>
      <c r="AA569"/>
      <c r="AB569"/>
      <c r="AC569"/>
      <c r="AD569"/>
      <c r="AE569"/>
      <c r="AF569"/>
    </row>
    <row r="570" spans="7:32">
      <c r="G570" s="21"/>
      <c r="AA570"/>
      <c r="AB570"/>
      <c r="AC570"/>
      <c r="AD570"/>
      <c r="AE570"/>
      <c r="AF570"/>
    </row>
    <row r="571" spans="7:32">
      <c r="G571" s="21"/>
      <c r="AA571"/>
      <c r="AB571"/>
      <c r="AC571"/>
      <c r="AD571"/>
      <c r="AE571"/>
      <c r="AF571"/>
    </row>
    <row r="572" spans="7:32">
      <c r="G572" s="21"/>
      <c r="AA572"/>
      <c r="AB572"/>
      <c r="AC572"/>
      <c r="AD572"/>
      <c r="AE572"/>
      <c r="AF572"/>
    </row>
    <row r="573" spans="7:32">
      <c r="G573" s="21"/>
      <c r="AA573"/>
      <c r="AB573"/>
      <c r="AC573"/>
      <c r="AD573"/>
      <c r="AE573"/>
      <c r="AF573"/>
    </row>
    <row r="574" spans="7:32">
      <c r="G574" s="21"/>
      <c r="AA574"/>
      <c r="AB574"/>
      <c r="AC574"/>
      <c r="AD574"/>
      <c r="AE574"/>
      <c r="AF574"/>
    </row>
  </sheetData>
  <mergeCells count="1">
    <mergeCell ref="A1:A3"/>
  </mergeCells>
  <conditionalFormatting sqref="D3:AU3">
    <cfRule type="cellIs" dxfId="39" priority="1" operator="equal">
      <formula>#REF!</formula>
    </cfRule>
    <cfRule type="cellIs" dxfId="38" priority="2" operator="equal">
      <formula>#REF!</formula>
    </cfRule>
    <cfRule type="cellIs" dxfId="37" priority="3" operator="equal">
      <formula>#REF!</formula>
    </cfRule>
    <cfRule type="cellIs" dxfId="36" priority="4" operator="equal">
      <formula>#REF!</formula>
    </cfRule>
  </conditionalFormatting>
  <conditionalFormatting sqref="G3:AU3">
    <cfRule type="cellIs" dxfId="35" priority="5" operator="equal">
      <formula>#REF!</formula>
    </cfRule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8FE95-4ED2-40C2-A093-ADB7D34F28F5}">
  <sheetPr>
    <tabColor rgb="FF00B0F0"/>
    <pageSetUpPr fitToPage="1"/>
  </sheetPr>
  <dimension ref="B1:M89"/>
  <sheetViews>
    <sheetView topLeftCell="A14" zoomScale="85" zoomScaleNormal="85" zoomScaleSheetLayoutView="80" workbookViewId="0">
      <selection activeCell="D41" sqref="D41"/>
    </sheetView>
  </sheetViews>
  <sheetFormatPr defaultColWidth="12.140625" defaultRowHeight="12.75"/>
  <cols>
    <col min="1" max="1" width="4.140625" style="92" customWidth="1"/>
    <col min="2" max="2" width="31.5703125" style="92" customWidth="1"/>
    <col min="3" max="3" width="12.140625" style="92"/>
    <col min="4" max="4" width="16.140625" style="92" customWidth="1"/>
    <col min="5" max="6" width="19.42578125" style="92" customWidth="1"/>
    <col min="7" max="7" width="21.85546875" style="92" customWidth="1"/>
    <col min="8" max="8" width="31.7109375" style="92" customWidth="1"/>
    <col min="9" max="9" width="33.140625" style="92" customWidth="1"/>
    <col min="10" max="10" width="26.42578125" style="92" customWidth="1"/>
    <col min="11" max="12" width="12.140625" style="92"/>
    <col min="13" max="13" width="20.42578125" style="92" bestFit="1" customWidth="1"/>
    <col min="14" max="16384" width="12.140625" style="92"/>
  </cols>
  <sheetData>
    <row r="1" spans="2:13">
      <c r="D1" s="92" t="s">
        <v>485</v>
      </c>
    </row>
    <row r="2" spans="2:13">
      <c r="D2" s="1226"/>
      <c r="E2" s="1226"/>
      <c r="F2" s="1226"/>
      <c r="G2" s="1226"/>
    </row>
    <row r="3" spans="2:13" ht="13.5" thickBot="1">
      <c r="C3" s="93"/>
      <c r="D3" s="94"/>
      <c r="E3" s="94"/>
      <c r="F3" s="94"/>
      <c r="G3" s="94"/>
      <c r="H3" s="94"/>
      <c r="I3" s="94"/>
    </row>
    <row r="4" spans="2:13" ht="18.75" thickBot="1">
      <c r="B4" s="1230" t="s">
        <v>17</v>
      </c>
      <c r="C4" s="1231"/>
      <c r="D4" s="1231"/>
      <c r="E4" s="1232"/>
      <c r="F4" s="1232"/>
      <c r="G4" s="1231"/>
      <c r="H4" s="1231"/>
      <c r="I4" s="1231"/>
      <c r="J4" s="1231"/>
      <c r="K4" s="1233"/>
      <c r="L4" s="94"/>
      <c r="M4" s="649"/>
    </row>
    <row r="5" spans="2:13" ht="15" thickBot="1">
      <c r="B5" s="547" t="s">
        <v>18</v>
      </c>
      <c r="C5" s="548"/>
      <c r="D5" s="541"/>
      <c r="E5" s="655"/>
      <c r="F5" s="655"/>
      <c r="G5" s="542"/>
      <c r="H5" s="549" t="s">
        <v>4</v>
      </c>
      <c r="I5" s="97" t="s">
        <v>19</v>
      </c>
      <c r="J5" s="98" t="s">
        <v>20</v>
      </c>
      <c r="K5" s="99"/>
      <c r="M5" s="650"/>
    </row>
    <row r="6" spans="2:13" ht="24" customHeight="1" thickBot="1">
      <c r="B6" s="674" t="s">
        <v>329</v>
      </c>
      <c r="C6" s="675"/>
      <c r="D6" s="791" t="s">
        <v>402</v>
      </c>
      <c r="E6" s="792" t="s">
        <v>403</v>
      </c>
      <c r="F6" s="676" t="s">
        <v>404</v>
      </c>
      <c r="G6" s="677" t="s">
        <v>21</v>
      </c>
      <c r="H6" s="848" t="s">
        <v>22</v>
      </c>
      <c r="I6" s="197">
        <v>40</v>
      </c>
      <c r="J6" s="610" t="s">
        <v>23</v>
      </c>
      <c r="K6" s="611"/>
      <c r="M6" s="650"/>
    </row>
    <row r="7" spans="2:13" ht="18" customHeight="1" thickBot="1">
      <c r="B7" s="1237" t="s">
        <v>330</v>
      </c>
      <c r="C7" s="1238"/>
      <c r="D7" s="1238"/>
      <c r="E7" s="1238"/>
      <c r="F7" s="1238"/>
      <c r="G7" s="1239"/>
      <c r="H7" s="849" t="s">
        <v>25</v>
      </c>
      <c r="I7" s="197">
        <v>37</v>
      </c>
      <c r="J7" s="102" t="s">
        <v>26</v>
      </c>
      <c r="K7" s="103">
        <v>4.7500000000000001E-2</v>
      </c>
      <c r="M7" s="650"/>
    </row>
    <row r="8" spans="2:13" ht="14.25">
      <c r="B8" s="122" t="s">
        <v>24</v>
      </c>
      <c r="C8" s="104"/>
      <c r="D8" s="545">
        <v>240</v>
      </c>
      <c r="E8" s="545">
        <v>240</v>
      </c>
      <c r="F8" s="545">
        <v>240</v>
      </c>
      <c r="G8" s="553" t="s">
        <v>297</v>
      </c>
      <c r="H8" s="850" t="s">
        <v>28</v>
      </c>
      <c r="I8" s="197">
        <v>40</v>
      </c>
      <c r="J8" s="102" t="s">
        <v>29</v>
      </c>
      <c r="K8" s="103">
        <v>0.04</v>
      </c>
      <c r="M8" s="650"/>
    </row>
    <row r="9" spans="2:13" ht="13.5" thickBot="1">
      <c r="B9" s="122" t="s">
        <v>27</v>
      </c>
      <c r="C9" s="104"/>
      <c r="D9" s="546">
        <v>3.45</v>
      </c>
      <c r="E9" s="546">
        <v>3.45</v>
      </c>
      <c r="F9" s="546">
        <v>3.4542000000000002</v>
      </c>
      <c r="G9" s="554" t="s">
        <v>297</v>
      </c>
      <c r="H9" s="851" t="s">
        <v>30</v>
      </c>
      <c r="I9" s="198">
        <v>20</v>
      </c>
      <c r="J9" s="102" t="s">
        <v>4</v>
      </c>
      <c r="K9" s="103">
        <v>4.4999999999999998E-2</v>
      </c>
      <c r="M9" s="651"/>
    </row>
    <row r="10" spans="2:13" ht="13.5" customHeight="1" thickBot="1">
      <c r="B10" s="1237" t="s">
        <v>12</v>
      </c>
      <c r="C10" s="1238"/>
      <c r="D10" s="1238"/>
      <c r="E10" s="1238"/>
      <c r="F10" s="1238"/>
      <c r="G10" s="1239"/>
      <c r="H10" s="550" t="s">
        <v>5</v>
      </c>
      <c r="I10" s="566" t="s">
        <v>19</v>
      </c>
      <c r="J10" s="102" t="s">
        <v>5</v>
      </c>
      <c r="K10" s="103">
        <v>4.4999999999999998E-2</v>
      </c>
    </row>
    <row r="11" spans="2:13" ht="16.5" customHeight="1">
      <c r="B11" s="122" t="s">
        <v>24</v>
      </c>
      <c r="C11" s="100"/>
      <c r="D11" s="545">
        <v>500</v>
      </c>
      <c r="E11" s="656">
        <f>D11</f>
        <v>500</v>
      </c>
      <c r="F11" s="672">
        <v>500</v>
      </c>
      <c r="G11" s="553">
        <v>500</v>
      </c>
      <c r="H11" s="551" t="s">
        <v>31</v>
      </c>
      <c r="I11" s="567">
        <v>37</v>
      </c>
      <c r="J11" s="102" t="s">
        <v>32</v>
      </c>
      <c r="K11" s="103">
        <v>5.5E-2</v>
      </c>
      <c r="L11" s="648"/>
    </row>
    <row r="12" spans="2:13" ht="13.5" thickBot="1">
      <c r="B12" s="122" t="s">
        <v>27</v>
      </c>
      <c r="C12" s="100"/>
      <c r="D12" s="546">
        <v>4.5</v>
      </c>
      <c r="E12" s="546">
        <v>3.45</v>
      </c>
      <c r="F12" s="546">
        <v>2.3849999999999998</v>
      </c>
      <c r="G12" s="554">
        <v>800</v>
      </c>
      <c r="H12" s="552" t="s">
        <v>33</v>
      </c>
      <c r="I12" s="568">
        <v>37</v>
      </c>
      <c r="J12" s="102" t="s">
        <v>331</v>
      </c>
      <c r="K12" s="103">
        <v>0.08</v>
      </c>
      <c r="L12" s="648"/>
    </row>
    <row r="13" spans="2:13" ht="13.5" thickBot="1">
      <c r="B13" s="1237" t="s">
        <v>380</v>
      </c>
      <c r="C13" s="1238"/>
      <c r="D13" s="1238"/>
      <c r="E13" s="1238"/>
      <c r="F13" s="1238"/>
      <c r="G13" s="1239"/>
      <c r="H13" s="108" t="s">
        <v>35</v>
      </c>
      <c r="I13" s="108"/>
      <c r="J13" s="105" t="s">
        <v>34</v>
      </c>
      <c r="K13" s="106">
        <v>0.02</v>
      </c>
      <c r="L13" s="648"/>
      <c r="M13" s="21"/>
    </row>
    <row r="14" spans="2:13" ht="26.25" customHeight="1" thickBot="1">
      <c r="B14" s="122" t="s">
        <v>24</v>
      </c>
      <c r="C14" s="100"/>
      <c r="D14" s="545">
        <v>700</v>
      </c>
      <c r="E14" s="656">
        <f>D14</f>
        <v>700</v>
      </c>
      <c r="F14" s="672">
        <v>700</v>
      </c>
      <c r="G14" s="555">
        <v>750</v>
      </c>
      <c r="H14" s="570" t="s">
        <v>36</v>
      </c>
      <c r="I14" s="852">
        <v>7.0000000000000007E-2</v>
      </c>
      <c r="J14" s="1235" t="s">
        <v>37</v>
      </c>
      <c r="K14" s="1236"/>
      <c r="M14" s="21"/>
    </row>
    <row r="15" spans="2:13" ht="13.5" thickBot="1">
      <c r="B15" s="122" t="s">
        <v>27</v>
      </c>
      <c r="C15" s="100"/>
      <c r="D15" s="546">
        <v>3.75</v>
      </c>
      <c r="E15" s="546">
        <v>2.924546428571428</v>
      </c>
      <c r="F15" s="546">
        <v>2.0171250000000001</v>
      </c>
      <c r="G15" s="554">
        <v>980</v>
      </c>
      <c r="H15" s="92" t="s">
        <v>38</v>
      </c>
      <c r="I15" s="853">
        <v>3.5000000000000003E-2</v>
      </c>
      <c r="J15" s="815" t="s">
        <v>39</v>
      </c>
      <c r="K15" s="816"/>
    </row>
    <row r="16" spans="2:13" ht="13.5" thickBot="1">
      <c r="B16" s="1240" t="s">
        <v>13</v>
      </c>
      <c r="C16" s="1241"/>
      <c r="D16" s="1241"/>
      <c r="E16" s="1241"/>
      <c r="F16" s="1241"/>
      <c r="G16" s="1242"/>
      <c r="H16" s="569" t="s">
        <v>40</v>
      </c>
      <c r="I16" s="853">
        <v>0.3</v>
      </c>
      <c r="J16" s="102" t="s">
        <v>41</v>
      </c>
      <c r="K16" s="110">
        <v>0.6</v>
      </c>
    </row>
    <row r="17" spans="2:12">
      <c r="B17" s="122" t="s">
        <v>24</v>
      </c>
      <c r="C17" s="107"/>
      <c r="D17" s="545">
        <v>1000</v>
      </c>
      <c r="E17" s="656">
        <f>D17</f>
        <v>1000</v>
      </c>
      <c r="F17" s="672">
        <v>1000</v>
      </c>
      <c r="G17" s="556">
        <v>1100</v>
      </c>
      <c r="J17" s="102" t="s">
        <v>42</v>
      </c>
      <c r="K17" s="110">
        <v>0.6</v>
      </c>
    </row>
    <row r="18" spans="2:12" ht="30.75" customHeight="1" thickBot="1">
      <c r="B18" s="122" t="s">
        <v>27</v>
      </c>
      <c r="C18" s="107"/>
      <c r="D18" s="546">
        <v>3.6</v>
      </c>
      <c r="E18" s="546">
        <v>2.47601</v>
      </c>
      <c r="F18" s="546">
        <v>1.7091499999999999</v>
      </c>
      <c r="G18" s="557">
        <v>1050</v>
      </c>
      <c r="J18" s="102" t="s">
        <v>4</v>
      </c>
      <c r="K18" s="110">
        <v>0.6</v>
      </c>
      <c r="L18" s="109"/>
    </row>
    <row r="19" spans="2:12" ht="13.5" thickBot="1">
      <c r="B19" s="1240" t="s">
        <v>14</v>
      </c>
      <c r="C19" s="1241"/>
      <c r="D19" s="1241"/>
      <c r="E19" s="1241"/>
      <c r="F19" s="1241"/>
      <c r="G19" s="1242"/>
      <c r="J19" s="817" t="s">
        <v>5</v>
      </c>
      <c r="K19" s="115">
        <v>0.55000000000000004</v>
      </c>
      <c r="L19" s="109"/>
    </row>
    <row r="20" spans="2:12">
      <c r="B20" s="122" t="s">
        <v>24</v>
      </c>
      <c r="C20" s="107"/>
      <c r="D20" s="545">
        <v>1200</v>
      </c>
      <c r="E20" s="656">
        <f>D20</f>
        <v>1200</v>
      </c>
      <c r="F20" s="673">
        <v>1200</v>
      </c>
      <c r="G20" s="558">
        <v>1500</v>
      </c>
      <c r="L20" s="120"/>
    </row>
    <row r="21" spans="2:12" ht="13.5" thickBot="1">
      <c r="B21" s="124" t="s">
        <v>27</v>
      </c>
      <c r="C21" s="111"/>
      <c r="D21" s="199">
        <v>3.6</v>
      </c>
      <c r="E21" s="199">
        <v>2.6679270833333337</v>
      </c>
      <c r="F21" s="199">
        <v>1.8482812500000001</v>
      </c>
      <c r="G21" s="559">
        <v>1100</v>
      </c>
      <c r="H21" s="94"/>
      <c r="I21" s="94"/>
      <c r="L21" s="118"/>
    </row>
    <row r="22" spans="2:12" ht="26.45" customHeight="1" thickBot="1">
      <c r="B22" s="112"/>
      <c r="C22" s="113"/>
      <c r="D22" s="113"/>
      <c r="E22" s="113"/>
      <c r="F22" s="113"/>
      <c r="G22" s="114"/>
      <c r="H22" s="1234" t="s">
        <v>43</v>
      </c>
      <c r="I22" s="1234"/>
      <c r="L22" s="118"/>
    </row>
    <row r="23" spans="2:12" ht="13.5" thickBot="1">
      <c r="B23" s="1227" t="s">
        <v>44</v>
      </c>
      <c r="C23" s="1228"/>
      <c r="D23" s="1229"/>
      <c r="E23" s="96"/>
      <c r="F23" s="96"/>
      <c r="G23" s="114"/>
      <c r="H23" s="846" t="s">
        <v>45</v>
      </c>
      <c r="I23" s="847" t="s">
        <v>46</v>
      </c>
      <c r="L23" s="118"/>
    </row>
    <row r="24" spans="2:12">
      <c r="B24" s="116" t="s">
        <v>47</v>
      </c>
      <c r="C24" s="117"/>
      <c r="D24" s="200"/>
      <c r="E24" s="96"/>
      <c r="G24" s="114"/>
      <c r="H24" s="1189" t="s">
        <v>48</v>
      </c>
      <c r="I24" s="1190">
        <f>'Market Research'!H10</f>
        <v>248</v>
      </c>
      <c r="L24" s="118"/>
    </row>
    <row r="25" spans="2:12">
      <c r="B25" s="119" t="s">
        <v>49</v>
      </c>
      <c r="C25" s="113"/>
      <c r="D25" s="818" t="s">
        <v>50</v>
      </c>
      <c r="E25" s="657"/>
      <c r="G25" s="114"/>
      <c r="H25" s="255" t="s">
        <v>51</v>
      </c>
      <c r="I25" s="828">
        <v>106</v>
      </c>
      <c r="J25" s="95"/>
      <c r="K25" s="118"/>
      <c r="L25" s="118"/>
    </row>
    <row r="26" spans="2:12" ht="25.5">
      <c r="B26" s="119" t="s">
        <v>52</v>
      </c>
      <c r="C26" s="113"/>
      <c r="D26" s="819" t="s">
        <v>53</v>
      </c>
      <c r="E26" s="657"/>
      <c r="G26" s="114"/>
      <c r="H26" s="829" t="s">
        <v>54</v>
      </c>
      <c r="I26" s="830">
        <f>'Market Research'!H10</f>
        <v>248</v>
      </c>
      <c r="J26" s="120"/>
      <c r="K26" s="118"/>
      <c r="L26" s="118"/>
    </row>
    <row r="27" spans="2:12">
      <c r="B27" s="121" t="s">
        <v>55</v>
      </c>
      <c r="C27" s="96"/>
      <c r="D27" s="820"/>
      <c r="E27" s="647"/>
      <c r="G27" s="114"/>
      <c r="H27" s="829" t="s">
        <v>405</v>
      </c>
      <c r="I27" s="831">
        <f>'Market Research'!H9</f>
        <v>236</v>
      </c>
      <c r="J27" s="95"/>
      <c r="K27" s="109"/>
      <c r="L27" s="109"/>
    </row>
    <row r="28" spans="2:12">
      <c r="B28" s="122" t="s">
        <v>58</v>
      </c>
      <c r="C28" s="96"/>
      <c r="D28" s="821">
        <v>400</v>
      </c>
      <c r="E28" s="658"/>
      <c r="F28" s="658"/>
      <c r="G28" s="114"/>
      <c r="H28" s="829" t="s">
        <v>407</v>
      </c>
      <c r="I28" s="830">
        <f>'Market Research'!H13</f>
        <v>221</v>
      </c>
      <c r="J28" s="95"/>
      <c r="K28" s="109"/>
      <c r="L28" s="109"/>
    </row>
    <row r="29" spans="2:12">
      <c r="B29" s="121" t="s">
        <v>60</v>
      </c>
      <c r="C29" s="96"/>
      <c r="D29" s="822"/>
      <c r="E29" s="659"/>
      <c r="F29" s="659"/>
      <c r="G29" s="114"/>
      <c r="H29" s="829" t="s">
        <v>406</v>
      </c>
      <c r="I29" s="830">
        <f>'Market Research'!H14</f>
        <v>106</v>
      </c>
      <c r="J29" s="95"/>
      <c r="K29" s="109"/>
      <c r="L29" s="109"/>
    </row>
    <row r="30" spans="2:12">
      <c r="B30" s="122" t="s">
        <v>61</v>
      </c>
      <c r="C30" s="96"/>
      <c r="D30" s="823">
        <v>36000</v>
      </c>
      <c r="E30" s="660"/>
      <c r="F30" s="660"/>
      <c r="G30" s="114"/>
      <c r="H30" s="832" t="s">
        <v>56</v>
      </c>
      <c r="I30" s="833" t="s">
        <v>57</v>
      </c>
      <c r="J30" s="95"/>
      <c r="K30" s="109"/>
      <c r="L30" s="109"/>
    </row>
    <row r="31" spans="2:12">
      <c r="B31" s="122" t="s">
        <v>63</v>
      </c>
      <c r="C31" s="96"/>
      <c r="D31" s="824">
        <v>10000</v>
      </c>
      <c r="E31" s="661"/>
      <c r="F31" s="661"/>
      <c r="G31" s="114"/>
      <c r="H31" s="255" t="s">
        <v>59</v>
      </c>
      <c r="I31" s="834">
        <v>0.1</v>
      </c>
      <c r="J31" s="95"/>
      <c r="K31" s="109"/>
      <c r="L31" s="109"/>
    </row>
    <row r="32" spans="2:12">
      <c r="B32" s="122" t="s">
        <v>70</v>
      </c>
      <c r="C32" s="96"/>
      <c r="D32" s="825"/>
      <c r="E32" s="662"/>
      <c r="F32" s="662"/>
      <c r="G32" s="114"/>
      <c r="H32" s="255" t="s">
        <v>11</v>
      </c>
      <c r="I32" s="831">
        <v>8</v>
      </c>
      <c r="J32" s="95"/>
      <c r="K32" s="109"/>
      <c r="L32" s="109"/>
    </row>
    <row r="33" spans="2:12">
      <c r="B33" s="101" t="s">
        <v>72</v>
      </c>
      <c r="C33" s="96"/>
      <c r="D33" s="826">
        <v>250</v>
      </c>
      <c r="E33" s="663"/>
      <c r="F33" s="663"/>
      <c r="G33" s="114"/>
      <c r="H33" s="255" t="s">
        <v>412</v>
      </c>
      <c r="I33" s="835">
        <v>3000</v>
      </c>
      <c r="J33" s="95"/>
      <c r="K33" s="109"/>
      <c r="L33" s="109"/>
    </row>
    <row r="34" spans="2:12">
      <c r="B34" s="123" t="s">
        <v>74</v>
      </c>
      <c r="C34" s="608"/>
      <c r="D34" s="826">
        <v>350</v>
      </c>
      <c r="E34" s="661"/>
      <c r="F34" s="661"/>
      <c r="G34" s="114"/>
      <c r="H34" s="832" t="s">
        <v>64</v>
      </c>
      <c r="I34" s="835" t="s">
        <v>65</v>
      </c>
      <c r="J34" s="95"/>
      <c r="K34" s="109"/>
      <c r="L34" s="109"/>
    </row>
    <row r="35" spans="2:12">
      <c r="B35" s="122" t="s">
        <v>76</v>
      </c>
      <c r="C35" s="113"/>
      <c r="D35" s="823">
        <v>0</v>
      </c>
      <c r="E35" s="662"/>
      <c r="F35" s="662"/>
      <c r="G35" s="114"/>
      <c r="H35" s="256" t="s">
        <v>66</v>
      </c>
      <c r="I35" s="836" t="s">
        <v>67</v>
      </c>
      <c r="J35" s="95"/>
      <c r="K35" s="109"/>
      <c r="L35" s="109"/>
    </row>
    <row r="36" spans="2:12" ht="13.5" thickBot="1">
      <c r="B36" s="124" t="s">
        <v>78</v>
      </c>
      <c r="C36" s="125"/>
      <c r="D36" s="827">
        <v>0</v>
      </c>
      <c r="E36" s="664"/>
      <c r="F36" s="664"/>
      <c r="G36" s="114"/>
      <c r="H36" s="256" t="s">
        <v>68</v>
      </c>
      <c r="I36" s="836" t="s">
        <v>67</v>
      </c>
      <c r="J36" s="95"/>
      <c r="K36" s="109"/>
      <c r="L36" s="109"/>
    </row>
    <row r="37" spans="2:12">
      <c r="E37" s="664"/>
      <c r="F37" s="664"/>
      <c r="G37" s="114"/>
      <c r="H37" s="256" t="s">
        <v>69</v>
      </c>
      <c r="I37" s="837">
        <v>0.04</v>
      </c>
      <c r="J37" s="95"/>
      <c r="K37" s="109"/>
      <c r="L37" s="109"/>
    </row>
    <row r="38" spans="2:12">
      <c r="E38" s="660"/>
      <c r="F38" s="660"/>
      <c r="G38" s="114"/>
      <c r="H38" s="256" t="s">
        <v>71</v>
      </c>
      <c r="I38" s="838">
        <v>0.03</v>
      </c>
      <c r="J38" s="95"/>
      <c r="K38" s="109"/>
      <c r="L38" s="109"/>
    </row>
    <row r="39" spans="2:12">
      <c r="E39" s="660"/>
      <c r="F39" s="660"/>
      <c r="G39" s="114"/>
      <c r="H39" s="256" t="s">
        <v>73</v>
      </c>
      <c r="I39" s="837">
        <v>0.02</v>
      </c>
      <c r="J39" s="95"/>
      <c r="K39" s="109"/>
      <c r="L39" s="109"/>
    </row>
    <row r="40" spans="2:12">
      <c r="B40" s="112"/>
      <c r="C40" s="113"/>
      <c r="D40" s="113"/>
      <c r="E40" s="113"/>
      <c r="F40" s="113"/>
      <c r="G40" s="114"/>
      <c r="H40" s="256" t="s">
        <v>75</v>
      </c>
      <c r="I40" s="839" t="s">
        <v>67</v>
      </c>
      <c r="J40" s="95"/>
      <c r="K40" s="109"/>
      <c r="L40" s="109"/>
    </row>
    <row r="41" spans="2:12">
      <c r="B41" s="112"/>
      <c r="C41" s="113"/>
      <c r="D41" s="113"/>
      <c r="E41" s="113"/>
      <c r="F41" s="113"/>
      <c r="G41" s="114"/>
      <c r="H41" s="256" t="s">
        <v>77</v>
      </c>
      <c r="I41" s="835">
        <v>2500</v>
      </c>
      <c r="J41" s="95"/>
      <c r="K41" s="109"/>
      <c r="L41" s="109"/>
    </row>
    <row r="42" spans="2:12">
      <c r="B42" s="112"/>
      <c r="C42" s="113"/>
      <c r="D42" s="113"/>
      <c r="E42" s="113"/>
      <c r="F42" s="113"/>
      <c r="G42" s="114"/>
      <c r="H42" s="256" t="s">
        <v>79</v>
      </c>
      <c r="I42" s="836" t="s">
        <v>67</v>
      </c>
      <c r="J42" s="95"/>
      <c r="K42" s="109"/>
      <c r="L42" s="109"/>
    </row>
    <row r="43" spans="2:12">
      <c r="B43" s="112"/>
      <c r="C43" s="113"/>
      <c r="D43" s="113"/>
      <c r="E43" s="113"/>
      <c r="F43" s="113"/>
      <c r="G43" s="114"/>
      <c r="H43" s="256" t="s">
        <v>80</v>
      </c>
      <c r="I43" s="840">
        <v>6</v>
      </c>
      <c r="J43" s="95"/>
      <c r="K43" s="109"/>
      <c r="L43" s="109"/>
    </row>
    <row r="44" spans="2:12">
      <c r="B44" s="112"/>
      <c r="C44" s="113"/>
      <c r="D44" s="113"/>
      <c r="E44" s="113"/>
      <c r="F44" s="113"/>
      <c r="G44" s="114"/>
      <c r="H44" s="256" t="s">
        <v>81</v>
      </c>
      <c r="I44" s="841">
        <v>75</v>
      </c>
      <c r="J44" s="95"/>
      <c r="K44" s="109"/>
      <c r="L44" s="109"/>
    </row>
    <row r="45" spans="2:12">
      <c r="B45" s="112"/>
      <c r="C45" s="113"/>
      <c r="D45" s="113"/>
      <c r="E45" s="113"/>
      <c r="F45" s="113"/>
      <c r="G45" s="114"/>
      <c r="H45" s="256" t="s">
        <v>82</v>
      </c>
      <c r="I45" s="842">
        <v>0.06</v>
      </c>
      <c r="J45" s="95"/>
      <c r="K45" s="109"/>
      <c r="L45" s="109"/>
    </row>
    <row r="46" spans="2:12">
      <c r="B46" s="112"/>
      <c r="C46" s="113"/>
      <c r="D46" s="113"/>
      <c r="E46" s="113"/>
      <c r="F46" s="113"/>
      <c r="G46" s="114"/>
      <c r="H46" s="256" t="s">
        <v>83</v>
      </c>
      <c r="I46" s="843">
        <v>1.4999999999999999E-2</v>
      </c>
      <c r="J46" s="95"/>
      <c r="K46" s="109"/>
      <c r="L46" s="109"/>
    </row>
    <row r="47" spans="2:12" ht="13.5" thickBot="1">
      <c r="B47" s="112"/>
      <c r="C47" s="113"/>
      <c r="D47" s="113"/>
      <c r="E47" s="113"/>
      <c r="F47" s="113"/>
      <c r="G47" s="114"/>
      <c r="H47" s="844" t="s">
        <v>84</v>
      </c>
      <c r="I47" s="845">
        <v>7.0000000000000007E-2</v>
      </c>
      <c r="J47" s="95"/>
      <c r="K47" s="109"/>
      <c r="L47" s="109"/>
    </row>
    <row r="48" spans="2:12">
      <c r="B48" s="112"/>
      <c r="C48" s="113"/>
      <c r="D48" s="113"/>
      <c r="E48" s="113"/>
      <c r="F48" s="113"/>
      <c r="G48" s="114"/>
      <c r="H48" s="681"/>
      <c r="I48" s="682"/>
      <c r="J48" s="95"/>
      <c r="K48" s="109"/>
    </row>
    <row r="49" spans="2:12" ht="13.5" thickBot="1">
      <c r="B49" s="112"/>
      <c r="C49" s="113"/>
      <c r="D49" s="113"/>
      <c r="E49" s="113"/>
      <c r="F49" s="113"/>
      <c r="G49" s="114"/>
      <c r="H49" s="681"/>
      <c r="I49" s="682"/>
      <c r="J49" s="95"/>
      <c r="K49" s="109"/>
    </row>
    <row r="50" spans="2:12" ht="26.25" customHeight="1" thickBot="1">
      <c r="B50" s="1223" t="s">
        <v>377</v>
      </c>
      <c r="C50" s="1224"/>
      <c r="D50" s="1224"/>
      <c r="E50" s="1224"/>
      <c r="F50" s="1224"/>
      <c r="G50" s="1225"/>
      <c r="H50" s="1220" t="s">
        <v>378</v>
      </c>
      <c r="I50" s="1221"/>
      <c r="J50" s="1221"/>
      <c r="K50" s="1221"/>
      <c r="L50" s="1222"/>
    </row>
    <row r="51" spans="2:12">
      <c r="B51" s="615" t="s">
        <v>85</v>
      </c>
      <c r="C51" s="616">
        <v>1</v>
      </c>
      <c r="D51" s="616">
        <v>2</v>
      </c>
      <c r="E51" s="616">
        <v>3</v>
      </c>
      <c r="F51" s="665"/>
      <c r="G51" s="617">
        <v>4</v>
      </c>
      <c r="H51" s="615" t="s">
        <v>85</v>
      </c>
      <c r="I51" s="257">
        <v>1</v>
      </c>
      <c r="J51" s="257">
        <v>2</v>
      </c>
      <c r="K51" s="181">
        <v>3</v>
      </c>
      <c r="L51" s="609">
        <v>4</v>
      </c>
    </row>
    <row r="52" spans="2:12" ht="13.5" thickBot="1">
      <c r="B52" s="618" t="s">
        <v>376</v>
      </c>
      <c r="C52" s="619">
        <v>106920</v>
      </c>
      <c r="D52" s="619">
        <v>127039</v>
      </c>
      <c r="E52" s="619">
        <v>153372</v>
      </c>
      <c r="F52" s="666"/>
      <c r="G52" s="620">
        <v>196715</v>
      </c>
      <c r="H52" s="618" t="s">
        <v>376</v>
      </c>
      <c r="I52" s="259">
        <f>C52</f>
        <v>106920</v>
      </c>
      <c r="J52" s="259">
        <f>D52</f>
        <v>127039</v>
      </c>
      <c r="K52" s="259">
        <f>E52</f>
        <v>153372</v>
      </c>
      <c r="L52" s="259">
        <f t="shared" ref="L52" si="0">G52</f>
        <v>196715</v>
      </c>
    </row>
    <row r="53" spans="2:12" ht="25.5">
      <c r="B53" s="750" t="s">
        <v>86</v>
      </c>
      <c r="C53" s="619">
        <f>0.5*C$52</f>
        <v>53460</v>
      </c>
      <c r="D53" s="619">
        <f t="shared" ref="D53:G53" si="1">0.5*D$52</f>
        <v>63519.5</v>
      </c>
      <c r="E53" s="619">
        <f t="shared" si="1"/>
        <v>76686</v>
      </c>
      <c r="F53" s="666"/>
      <c r="G53" s="620">
        <f t="shared" si="1"/>
        <v>98357.5</v>
      </c>
      <c r="H53" s="260" t="s">
        <v>87</v>
      </c>
      <c r="I53" s="261">
        <f>0.7*I$52</f>
        <v>74844</v>
      </c>
      <c r="J53" s="261">
        <f>0.7*J$52</f>
        <v>88927.299999999988</v>
      </c>
      <c r="K53" s="261">
        <f t="shared" ref="K53:L53" si="2">0.7*K$52</f>
        <v>107360.4</v>
      </c>
      <c r="L53" s="262">
        <f t="shared" si="2"/>
        <v>137700.5</v>
      </c>
    </row>
    <row r="54" spans="2:12">
      <c r="B54" s="255" t="s">
        <v>88</v>
      </c>
      <c r="C54" s="619">
        <f>0.3*C53</f>
        <v>16038</v>
      </c>
      <c r="D54" s="619">
        <f>0.3*D53</f>
        <v>19055.849999999999</v>
      </c>
      <c r="E54" s="619">
        <f>0.3*E53</f>
        <v>23005.8</v>
      </c>
      <c r="F54" s="666"/>
      <c r="G54" s="620">
        <f>0.3*G53</f>
        <v>29507.25</v>
      </c>
      <c r="H54" s="636" t="s">
        <v>89</v>
      </c>
      <c r="I54" s="127">
        <f>0.35*I53</f>
        <v>26195.399999999998</v>
      </c>
      <c r="J54" s="127">
        <f>0.35*J53</f>
        <v>31124.554999999993</v>
      </c>
      <c r="K54" s="127">
        <f t="shared" ref="K54:L54" si="3">0.35*K53</f>
        <v>37576.139999999992</v>
      </c>
      <c r="L54" s="128">
        <f t="shared" si="3"/>
        <v>48195.174999999996</v>
      </c>
    </row>
    <row r="55" spans="2:12" ht="13.5" thickBot="1">
      <c r="B55" s="622" t="s">
        <v>90</v>
      </c>
      <c r="C55" s="623">
        <v>1728</v>
      </c>
      <c r="D55" s="623">
        <v>2112</v>
      </c>
      <c r="E55" s="623">
        <v>2496</v>
      </c>
      <c r="F55" s="667"/>
      <c r="G55" s="624">
        <v>2892</v>
      </c>
      <c r="H55" s="636" t="s">
        <v>90</v>
      </c>
      <c r="I55" s="127">
        <f>-12*200</f>
        <v>-2400</v>
      </c>
      <c r="J55" s="127">
        <f t="shared" ref="J55:L55" si="4">-12*200</f>
        <v>-2400</v>
      </c>
      <c r="K55" s="127">
        <f t="shared" si="4"/>
        <v>-2400</v>
      </c>
      <c r="L55" s="128">
        <f t="shared" si="4"/>
        <v>-2400</v>
      </c>
    </row>
    <row r="56" spans="2:12" ht="13.5" thickTop="1">
      <c r="B56" s="625" t="s">
        <v>91</v>
      </c>
      <c r="C56" s="626">
        <f>C54-C55</f>
        <v>14310</v>
      </c>
      <c r="D56" s="626">
        <f>D54-D55</f>
        <v>16943.849999999999</v>
      </c>
      <c r="E56" s="626">
        <f>E54-E55</f>
        <v>20509.8</v>
      </c>
      <c r="F56" s="668"/>
      <c r="G56" s="627">
        <f>G54-G55</f>
        <v>26615.25</v>
      </c>
      <c r="H56" s="636" t="s">
        <v>92</v>
      </c>
      <c r="I56" s="127">
        <v>-1000</v>
      </c>
      <c r="J56" s="127">
        <v>-1000</v>
      </c>
      <c r="K56" s="127">
        <v>-1000</v>
      </c>
      <c r="L56" s="128">
        <v>-1000</v>
      </c>
    </row>
    <row r="57" spans="2:12" ht="13.5" thickBot="1">
      <c r="B57" s="628" t="s">
        <v>93</v>
      </c>
      <c r="C57" s="629">
        <f>C56/12</f>
        <v>1192.5</v>
      </c>
      <c r="D57" s="629">
        <f>D56/12</f>
        <v>1411.9875</v>
      </c>
      <c r="E57" s="629">
        <f>E56/12</f>
        <v>1709.1499999999999</v>
      </c>
      <c r="F57" s="669"/>
      <c r="G57" s="630">
        <f>G56/12</f>
        <v>2217.9375</v>
      </c>
      <c r="H57" s="637" t="s">
        <v>94</v>
      </c>
      <c r="I57" s="129">
        <f>-0.014*425000</f>
        <v>-5950</v>
      </c>
      <c r="J57" s="129">
        <f t="shared" ref="J57:L57" si="5">-0.014*425000</f>
        <v>-5950</v>
      </c>
      <c r="K57" s="129">
        <f t="shared" si="5"/>
        <v>-5950</v>
      </c>
      <c r="L57" s="130">
        <f t="shared" si="5"/>
        <v>-5950</v>
      </c>
    </row>
    <row r="58" spans="2:12" ht="13.5" thickTop="1">
      <c r="B58" s="621"/>
      <c r="C58" s="619"/>
      <c r="D58" s="619"/>
      <c r="E58" s="619"/>
      <c r="F58" s="666"/>
      <c r="G58" s="620"/>
      <c r="H58" s="636" t="s">
        <v>95</v>
      </c>
      <c r="I58" s="127">
        <f>SUM(I54:I57)</f>
        <v>16845.399999999998</v>
      </c>
      <c r="J58" s="127">
        <f>SUM(J54:J57)</f>
        <v>21774.554999999993</v>
      </c>
      <c r="K58" s="127">
        <f t="shared" ref="K58:L58" si="6">SUM(K54:K57)</f>
        <v>28226.139999999992</v>
      </c>
      <c r="L58" s="128">
        <f t="shared" si="6"/>
        <v>38845.174999999996</v>
      </c>
    </row>
    <row r="59" spans="2:12">
      <c r="B59" s="750" t="s">
        <v>96</v>
      </c>
      <c r="C59" s="619">
        <f>0.7*C$52</f>
        <v>74844</v>
      </c>
      <c r="D59" s="619">
        <f t="shared" ref="D59:G59" si="7">0.7*D$52</f>
        <v>88927.299999999988</v>
      </c>
      <c r="E59" s="619">
        <f t="shared" si="7"/>
        <v>107360.4</v>
      </c>
      <c r="F59" s="666"/>
      <c r="G59" s="620">
        <f t="shared" si="7"/>
        <v>137700.5</v>
      </c>
      <c r="H59" s="638">
        <v>0.04</v>
      </c>
      <c r="I59" s="131">
        <f>-PV($H59,30,I58)</f>
        <v>291291.21776301361</v>
      </c>
      <c r="J59" s="131">
        <f>-PV($H59,30,J58)</f>
        <v>376526.33016715036</v>
      </c>
      <c r="K59" s="131">
        <f>-PV($H59,30,K58)</f>
        <v>488087.35282921785</v>
      </c>
      <c r="L59" s="132">
        <f>-PV($H59,30,L58)</f>
        <v>671712.05967013969</v>
      </c>
    </row>
    <row r="60" spans="2:12" ht="13.5" thickBot="1">
      <c r="B60" s="255" t="s">
        <v>88</v>
      </c>
      <c r="C60" s="619">
        <f>0.3*C59</f>
        <v>22453.200000000001</v>
      </c>
      <c r="D60" s="619">
        <f>0.3*D59</f>
        <v>26678.189999999995</v>
      </c>
      <c r="E60" s="619">
        <f>0.3*E59</f>
        <v>32208.119999999995</v>
      </c>
      <c r="F60" s="666"/>
      <c r="G60" s="620">
        <f>0.3*G59</f>
        <v>41310.15</v>
      </c>
      <c r="H60" s="639">
        <v>0.03</v>
      </c>
      <c r="I60" s="133">
        <f>$H60*(I59/(1-$H60))</f>
        <v>9009.0067349385663</v>
      </c>
      <c r="J60" s="133">
        <f>$H60*(J59/(1-$H60))</f>
        <v>11645.144231973722</v>
      </c>
      <c r="K60" s="133">
        <f>$H60*(K59/(1-$H60))</f>
        <v>15095.485139047974</v>
      </c>
      <c r="L60" s="134">
        <f>$H60*(L59/(1-$H60))</f>
        <v>20774.599783612564</v>
      </c>
    </row>
    <row r="61" spans="2:12" ht="14.25" thickTop="1" thickBot="1">
      <c r="B61" s="622" t="s">
        <v>90</v>
      </c>
      <c r="C61" s="623">
        <v>1728</v>
      </c>
      <c r="D61" s="623">
        <v>2112</v>
      </c>
      <c r="E61" s="623">
        <v>2496</v>
      </c>
      <c r="F61" s="667"/>
      <c r="G61" s="624">
        <v>2892</v>
      </c>
      <c r="H61" s="640" t="s">
        <v>97</v>
      </c>
      <c r="I61" s="612">
        <f>SUM(I59:I60)</f>
        <v>300300.22449795221</v>
      </c>
      <c r="J61" s="612">
        <f>SUM(J59:J60)</f>
        <v>388171.4743991241</v>
      </c>
      <c r="K61" s="612">
        <f>SUM(K59:K60)</f>
        <v>503182.83796826581</v>
      </c>
      <c r="L61" s="613">
        <f>SUM(L59:L60)</f>
        <v>692486.65945375222</v>
      </c>
    </row>
    <row r="62" spans="2:12" ht="14.25" thickTop="1" thickBot="1">
      <c r="B62" s="625" t="s">
        <v>91</v>
      </c>
      <c r="C62" s="626">
        <f>C60-C61</f>
        <v>20725.2</v>
      </c>
      <c r="D62" s="626">
        <f>D60-D61</f>
        <v>24566.189999999995</v>
      </c>
      <c r="E62" s="626">
        <f>E60-E61</f>
        <v>29712.119999999995</v>
      </c>
      <c r="F62" s="668"/>
      <c r="G62" s="627">
        <f>G60-G61</f>
        <v>38418.15</v>
      </c>
      <c r="H62" s="641"/>
      <c r="I62" s="136"/>
      <c r="J62" s="136"/>
      <c r="K62" s="136"/>
      <c r="L62" s="137"/>
    </row>
    <row r="63" spans="2:12" ht="25.5">
      <c r="B63" s="628" t="s">
        <v>93</v>
      </c>
      <c r="C63" s="629">
        <f>C62/12</f>
        <v>1727.1000000000001</v>
      </c>
      <c r="D63" s="629">
        <f>D62/12</f>
        <v>2047.1824999999997</v>
      </c>
      <c r="E63" s="629">
        <f>E62/12</f>
        <v>2476.0099999999998</v>
      </c>
      <c r="F63" s="669"/>
      <c r="G63" s="630">
        <f>G62/12</f>
        <v>3201.5125000000003</v>
      </c>
      <c r="H63" s="264" t="s">
        <v>98</v>
      </c>
      <c r="I63" s="261">
        <f>1*I$52</f>
        <v>106920</v>
      </c>
      <c r="J63" s="261">
        <f>1*J$52</f>
        <v>127039</v>
      </c>
      <c r="K63" s="261">
        <f t="shared" ref="K63:L63" si="8">1*K$52</f>
        <v>153372</v>
      </c>
      <c r="L63" s="262">
        <f t="shared" si="8"/>
        <v>196715</v>
      </c>
    </row>
    <row r="64" spans="2:12">
      <c r="B64" s="621"/>
      <c r="C64" s="631"/>
      <c r="D64" s="631"/>
      <c r="E64" s="631"/>
      <c r="F64" s="670"/>
      <c r="G64" s="632"/>
      <c r="H64" s="636" t="s">
        <v>89</v>
      </c>
      <c r="I64" s="127">
        <f>0.35*I63</f>
        <v>37422</v>
      </c>
      <c r="J64" s="127">
        <f>0.35*J63</f>
        <v>44463.649999999994</v>
      </c>
      <c r="K64" s="127">
        <f t="shared" ref="K64:L64" si="9">0.35*K63</f>
        <v>53680.2</v>
      </c>
      <c r="L64" s="128">
        <f t="shared" si="9"/>
        <v>68850.25</v>
      </c>
    </row>
    <row r="65" spans="2:12" ht="25.5">
      <c r="B65" s="628" t="s">
        <v>99</v>
      </c>
      <c r="C65" s="619">
        <f>1.1*C52</f>
        <v>117612.00000000001</v>
      </c>
      <c r="D65" s="619">
        <f>1.1*D52</f>
        <v>139742.90000000002</v>
      </c>
      <c r="E65" s="619">
        <f>1.1*E52</f>
        <v>168709.2</v>
      </c>
      <c r="F65" s="666"/>
      <c r="G65" s="620">
        <f>1.1*G52</f>
        <v>216386.50000000003</v>
      </c>
      <c r="H65" s="636" t="s">
        <v>90</v>
      </c>
      <c r="I65" s="127">
        <f>-12*200</f>
        <v>-2400</v>
      </c>
      <c r="J65" s="127">
        <f t="shared" ref="J65:L65" si="10">-12*200</f>
        <v>-2400</v>
      </c>
      <c r="K65" s="127">
        <f t="shared" si="10"/>
        <v>-2400</v>
      </c>
      <c r="L65" s="128">
        <f t="shared" si="10"/>
        <v>-2400</v>
      </c>
    </row>
    <row r="66" spans="2:12">
      <c r="B66" s="255" t="s">
        <v>89</v>
      </c>
      <c r="C66" s="619">
        <f>0.35*C65</f>
        <v>41164.200000000004</v>
      </c>
      <c r="D66" s="619">
        <f>0.35*D65</f>
        <v>48910.015000000007</v>
      </c>
      <c r="E66" s="619">
        <f>0.35*E65</f>
        <v>59048.22</v>
      </c>
      <c r="F66" s="666"/>
      <c r="G66" s="620">
        <f>0.35*G65</f>
        <v>75735.275000000009</v>
      </c>
      <c r="H66" s="636" t="s">
        <v>92</v>
      </c>
      <c r="I66" s="127">
        <v>-1000</v>
      </c>
      <c r="J66" s="127">
        <v>-1000</v>
      </c>
      <c r="K66" s="127">
        <v>-1000</v>
      </c>
      <c r="L66" s="128">
        <v>-1000</v>
      </c>
    </row>
    <row r="67" spans="2:12" ht="13.5" thickBot="1">
      <c r="B67" s="622" t="s">
        <v>90</v>
      </c>
      <c r="C67" s="623">
        <v>1728</v>
      </c>
      <c r="D67" s="623">
        <v>2112</v>
      </c>
      <c r="E67" s="623">
        <v>2496</v>
      </c>
      <c r="F67" s="667"/>
      <c r="G67" s="624">
        <v>2892</v>
      </c>
      <c r="H67" s="637" t="s">
        <v>94</v>
      </c>
      <c r="I67" s="129">
        <f>-0.014*425000</f>
        <v>-5950</v>
      </c>
      <c r="J67" s="129">
        <f t="shared" ref="J67:L67" si="11">-0.014*425000</f>
        <v>-5950</v>
      </c>
      <c r="K67" s="129">
        <f t="shared" si="11"/>
        <v>-5950</v>
      </c>
      <c r="L67" s="130">
        <f t="shared" si="11"/>
        <v>-5950</v>
      </c>
    </row>
    <row r="68" spans="2:12" ht="13.5" thickTop="1">
      <c r="B68" s="66" t="s">
        <v>95</v>
      </c>
      <c r="C68" s="626">
        <f>C66-C67</f>
        <v>39436.200000000004</v>
      </c>
      <c r="D68" s="626">
        <f>D66-D67</f>
        <v>46798.015000000007</v>
      </c>
      <c r="E68" s="626">
        <f>E66-E67</f>
        <v>56552.22</v>
      </c>
      <c r="F68" s="668"/>
      <c r="G68" s="627">
        <f>G66-G67</f>
        <v>72843.275000000009</v>
      </c>
      <c r="H68" s="641" t="s">
        <v>95</v>
      </c>
      <c r="I68" s="136">
        <f>SUM(I64:I67)</f>
        <v>28072</v>
      </c>
      <c r="J68" s="136">
        <f>SUM(J64:J67)</f>
        <v>35113.649999999994</v>
      </c>
      <c r="K68" s="136">
        <f t="shared" ref="K68:L68" si="12">SUM(K64:K67)</f>
        <v>44330.2</v>
      </c>
      <c r="L68" s="137">
        <f t="shared" si="12"/>
        <v>59500.25</v>
      </c>
    </row>
    <row r="69" spans="2:12" ht="13.5" thickBot="1">
      <c r="B69" s="633" t="s">
        <v>93</v>
      </c>
      <c r="C69" s="634">
        <f>C68/12</f>
        <v>3286.3500000000004</v>
      </c>
      <c r="D69" s="634">
        <f>D68/12</f>
        <v>3899.8345833333337</v>
      </c>
      <c r="E69" s="634">
        <f>E68/12</f>
        <v>4712.6850000000004</v>
      </c>
      <c r="F69" s="671"/>
      <c r="G69" s="635">
        <f>G68/12</f>
        <v>6070.2729166666677</v>
      </c>
      <c r="H69" s="638">
        <v>0.04</v>
      </c>
      <c r="I69" s="131">
        <f>-PV($H69,30,I68)</f>
        <v>485421.95881625358</v>
      </c>
      <c r="J69" s="131">
        <f>-PV($H69,30,J68)</f>
        <v>607186.40510787757</v>
      </c>
      <c r="K69" s="131">
        <f>-PV($H69,30,K68)</f>
        <v>766559.29462511698</v>
      </c>
      <c r="L69" s="132">
        <f>-PV($H69,30,L68)</f>
        <v>1028880.3043978624</v>
      </c>
    </row>
    <row r="70" spans="2:12" ht="13.5" thickBot="1">
      <c r="B70" s="112"/>
      <c r="C70" s="113"/>
      <c r="D70" s="113"/>
      <c r="E70" s="113"/>
      <c r="F70" s="113"/>
      <c r="G70" s="114"/>
      <c r="H70" s="639">
        <v>0.03</v>
      </c>
      <c r="I70" s="133">
        <f>$H70*(I69/(1-$H70))</f>
        <v>15013.050272667637</v>
      </c>
      <c r="J70" s="133">
        <f>$H70*(J69/(1-$H70))</f>
        <v>18778.960982717865</v>
      </c>
      <c r="K70" s="133">
        <f>$H70*(K69/(1-$H70))</f>
        <v>23708.019421395369</v>
      </c>
      <c r="L70" s="134">
        <f>$H70*(L69/(1-$H70))</f>
        <v>31821.04034220193</v>
      </c>
    </row>
    <row r="71" spans="2:12" ht="14.25" thickTop="1" thickBot="1">
      <c r="B71" s="112"/>
      <c r="C71" s="113"/>
      <c r="D71" s="113"/>
      <c r="E71" s="113"/>
      <c r="F71" s="113"/>
      <c r="G71" s="114"/>
      <c r="H71" s="640" t="s">
        <v>97</v>
      </c>
      <c r="I71" s="612">
        <f>SUM(I69:I70)</f>
        <v>500435.00908892124</v>
      </c>
      <c r="J71" s="612">
        <f t="shared" ref="J71:L71" si="13">SUM(J69:J70)</f>
        <v>625965.36609059549</v>
      </c>
      <c r="K71" s="612">
        <f t="shared" si="13"/>
        <v>790267.31404651236</v>
      </c>
      <c r="L71" s="612">
        <f t="shared" si="13"/>
        <v>1060701.3447400643</v>
      </c>
    </row>
    <row r="72" spans="2:12" ht="13.5" thickBot="1">
      <c r="B72" s="112"/>
      <c r="C72" s="113"/>
      <c r="D72" s="113"/>
      <c r="E72" s="113"/>
      <c r="F72" s="113"/>
      <c r="G72" s="114"/>
      <c r="H72" s="641"/>
      <c r="I72" s="136"/>
      <c r="J72" s="136"/>
      <c r="K72" s="136"/>
      <c r="L72" s="137"/>
    </row>
    <row r="73" spans="2:12" ht="25.5">
      <c r="B73" s="112"/>
      <c r="C73" s="113"/>
      <c r="D73" s="113"/>
      <c r="E73" s="113"/>
      <c r="F73" s="113"/>
      <c r="G73" s="114"/>
      <c r="H73" s="264" t="s">
        <v>100</v>
      </c>
      <c r="I73" s="261">
        <f>1.2*I$52</f>
        <v>128304</v>
      </c>
      <c r="J73" s="261">
        <f>1.2*J$52</f>
        <v>152446.79999999999</v>
      </c>
      <c r="K73" s="261">
        <f>1.2*K$52</f>
        <v>184046.4</v>
      </c>
      <c r="L73" s="262">
        <f>1.2*L$52</f>
        <v>236058</v>
      </c>
    </row>
    <row r="74" spans="2:12">
      <c r="B74" s="112"/>
      <c r="C74" s="113"/>
      <c r="D74" s="113"/>
      <c r="E74" s="113"/>
      <c r="F74" s="113"/>
      <c r="G74" s="114"/>
      <c r="H74" s="636" t="s">
        <v>89</v>
      </c>
      <c r="I74" s="127">
        <f>0.35*I73</f>
        <v>44906.399999999994</v>
      </c>
      <c r="J74" s="127">
        <f>0.35*J73</f>
        <v>53356.37999999999</v>
      </c>
      <c r="K74" s="127">
        <f t="shared" ref="K74:L74" si="14">0.35*K73</f>
        <v>64416.239999999991</v>
      </c>
      <c r="L74" s="128">
        <f t="shared" si="14"/>
        <v>82620.299999999988</v>
      </c>
    </row>
    <row r="75" spans="2:12">
      <c r="B75" s="112"/>
      <c r="C75" s="113"/>
      <c r="D75" s="113"/>
      <c r="E75" s="113"/>
      <c r="F75" s="113"/>
      <c r="G75" s="114"/>
      <c r="H75" s="636" t="s">
        <v>90</v>
      </c>
      <c r="I75" s="127">
        <f>-12*200</f>
        <v>-2400</v>
      </c>
      <c r="J75" s="127">
        <f t="shared" ref="J75:L75" si="15">-12*200</f>
        <v>-2400</v>
      </c>
      <c r="K75" s="127">
        <f t="shared" si="15"/>
        <v>-2400</v>
      </c>
      <c r="L75" s="128">
        <f t="shared" si="15"/>
        <v>-2400</v>
      </c>
    </row>
    <row r="76" spans="2:12">
      <c r="B76" s="112"/>
      <c r="C76" s="113"/>
      <c r="D76" s="113"/>
      <c r="E76" s="113"/>
      <c r="F76" s="113"/>
      <c r="G76" s="114"/>
      <c r="H76" s="636" t="s">
        <v>92</v>
      </c>
      <c r="I76" s="127">
        <v>-1000</v>
      </c>
      <c r="J76" s="127">
        <v>-1000</v>
      </c>
      <c r="K76" s="127">
        <v>-1000</v>
      </c>
      <c r="L76" s="128">
        <v>-1000</v>
      </c>
    </row>
    <row r="77" spans="2:12" ht="13.5" thickBot="1">
      <c r="B77" s="112"/>
      <c r="C77" s="113"/>
      <c r="D77" s="113"/>
      <c r="E77" s="113"/>
      <c r="F77" s="113"/>
      <c r="G77" s="114"/>
      <c r="H77" s="637" t="s">
        <v>94</v>
      </c>
      <c r="I77" s="129">
        <f>-0.014*425000</f>
        <v>-5950</v>
      </c>
      <c r="J77" s="129">
        <f t="shared" ref="J77:L77" si="16">-0.014*425000</f>
        <v>-5950</v>
      </c>
      <c r="K77" s="129">
        <f t="shared" si="16"/>
        <v>-5950</v>
      </c>
      <c r="L77" s="130">
        <f t="shared" si="16"/>
        <v>-5950</v>
      </c>
    </row>
    <row r="78" spans="2:12" ht="13.5" thickTop="1">
      <c r="B78" s="112"/>
      <c r="C78" s="113"/>
      <c r="D78" s="113"/>
      <c r="E78" s="113"/>
      <c r="F78" s="113"/>
      <c r="G78" s="114"/>
      <c r="H78" s="641" t="s">
        <v>95</v>
      </c>
      <c r="I78" s="136">
        <f>SUM(I74:I77)</f>
        <v>35556.399999999994</v>
      </c>
      <c r="J78" s="136">
        <f>SUM(J74:J77)</f>
        <v>44006.37999999999</v>
      </c>
      <c r="K78" s="136">
        <f t="shared" ref="K78:L78" si="17">SUM(K74:K77)</f>
        <v>55066.239999999991</v>
      </c>
      <c r="L78" s="137">
        <f t="shared" si="17"/>
        <v>73270.299999999988</v>
      </c>
    </row>
    <row r="79" spans="2:12">
      <c r="B79" s="112"/>
      <c r="C79" s="113"/>
      <c r="D79" s="113"/>
      <c r="E79" s="113"/>
      <c r="F79" s="113"/>
      <c r="G79" s="114"/>
      <c r="H79" s="638">
        <v>0.04</v>
      </c>
      <c r="I79" s="131">
        <f>-PV($H79,30,I78)</f>
        <v>614842.45285174681</v>
      </c>
      <c r="J79" s="131">
        <f>-PV($H79,30,J78)</f>
        <v>760959.78840169567</v>
      </c>
      <c r="K79" s="131">
        <f>-PV($H79,30,K78)</f>
        <v>952207.25582238287</v>
      </c>
      <c r="L79" s="132">
        <f>-PV($H79,30,L78)</f>
        <v>1266992.4675496772</v>
      </c>
    </row>
    <row r="80" spans="2:12" ht="13.5" thickBot="1">
      <c r="B80" s="112"/>
      <c r="C80" s="113"/>
      <c r="D80" s="113"/>
      <c r="E80" s="113"/>
      <c r="F80" s="113"/>
      <c r="G80" s="114"/>
      <c r="H80" s="639">
        <v>0.03</v>
      </c>
      <c r="I80" s="133">
        <f>$H80*(I79/(1-$H80))</f>
        <v>19015.745964487018</v>
      </c>
      <c r="J80" s="133">
        <f>$H80*(J79/(1-$H80))</f>
        <v>23534.83881654729</v>
      </c>
      <c r="K80" s="133">
        <f>$H80*(K79/(1-$H80))</f>
        <v>29449.708942960297</v>
      </c>
      <c r="L80" s="134">
        <f>$H80*(L79/(1-$H80))</f>
        <v>39185.334047928161</v>
      </c>
    </row>
    <row r="81" spans="2:12" ht="14.25" thickTop="1" thickBot="1">
      <c r="B81" s="112"/>
      <c r="C81" s="113"/>
      <c r="D81" s="113"/>
      <c r="E81" s="113"/>
      <c r="F81" s="113"/>
      <c r="G81" s="114"/>
      <c r="H81" s="640" t="s">
        <v>97</v>
      </c>
      <c r="I81" s="612">
        <f>SUM(I79:I80)</f>
        <v>633858.19881623378</v>
      </c>
      <c r="J81" s="612">
        <f>SUM(J79:J80)</f>
        <v>784494.62721824297</v>
      </c>
      <c r="K81" s="612">
        <f>SUM(K79:K80)</f>
        <v>981656.96476534312</v>
      </c>
      <c r="L81" s="613">
        <f>SUM(L79:L80)</f>
        <v>1306177.8015976055</v>
      </c>
    </row>
    <row r="82" spans="2:12">
      <c r="B82" s="112"/>
      <c r="C82" s="113"/>
      <c r="D82" s="113"/>
      <c r="E82" s="113"/>
      <c r="F82" s="113"/>
      <c r="G82" s="114"/>
      <c r="H82" s="94"/>
      <c r="I82" s="94"/>
    </row>
    <row r="83" spans="2:12">
      <c r="B83" s="112"/>
      <c r="C83" s="96"/>
      <c r="J83" s="95"/>
      <c r="K83" s="109"/>
    </row>
    <row r="84" spans="2:12">
      <c r="B84" s="112"/>
      <c r="C84" s="96"/>
    </row>
    <row r="85" spans="2:12">
      <c r="B85" s="112"/>
      <c r="C85" s="96"/>
    </row>
    <row r="86" spans="2:12">
      <c r="C86" s="113"/>
    </row>
    <row r="87" spans="2:12">
      <c r="C87" s="113"/>
    </row>
    <row r="88" spans="2:12">
      <c r="C88" s="113"/>
    </row>
    <row r="89" spans="2:12">
      <c r="C89" s="113"/>
    </row>
  </sheetData>
  <mergeCells count="12">
    <mergeCell ref="H50:L50"/>
    <mergeCell ref="B50:G50"/>
    <mergeCell ref="D2:G2"/>
    <mergeCell ref="B23:D23"/>
    <mergeCell ref="B4:K4"/>
    <mergeCell ref="H22:I22"/>
    <mergeCell ref="J14:K14"/>
    <mergeCell ref="B7:G7"/>
    <mergeCell ref="B10:G10"/>
    <mergeCell ref="B13:G13"/>
    <mergeCell ref="B16:G16"/>
    <mergeCell ref="B19:G19"/>
  </mergeCells>
  <pageMargins left="0.7" right="0.7" top="0.75" bottom="0.75" header="0.3" footer="0.3"/>
  <pageSetup scale="39" pageOrder="overThenDown" orientation="landscape" r:id="rId1"/>
  <rowBreaks count="1" manualBreakCount="1">
    <brk id="47" max="16383" man="1"/>
  </rowBreaks>
  <colBreaks count="2" manualBreakCount="2">
    <brk id="7" max="81" man="1"/>
    <brk id="1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31CB-AC71-40AF-B3D6-6FC617CA1C3D}">
  <sheetPr>
    <tabColor theme="6" tint="-0.249977111117893"/>
    <pageSetUpPr fitToPage="1"/>
  </sheetPr>
  <dimension ref="A1:G109"/>
  <sheetViews>
    <sheetView showGridLines="0" zoomScaleNormal="100" zoomScaleSheetLayoutView="90" workbookViewId="0">
      <selection activeCell="A21" sqref="A21"/>
    </sheetView>
  </sheetViews>
  <sheetFormatPr defaultColWidth="8.85546875" defaultRowHeight="23.25" customHeight="1"/>
  <cols>
    <col min="1" max="1" width="36.5703125" style="21" bestFit="1" customWidth="1"/>
    <col min="2" max="2" width="22.140625" style="21" bestFit="1" customWidth="1"/>
    <col min="3" max="3" width="33.85546875" style="21" bestFit="1" customWidth="1"/>
    <col min="4" max="4" width="11.5703125" style="21" bestFit="1" customWidth="1"/>
    <col min="5" max="5" width="18.140625" style="21" bestFit="1" customWidth="1"/>
    <col min="6" max="6" width="2.85546875" style="21" bestFit="1" customWidth="1"/>
    <col min="7" max="7" width="10.5703125" style="21" bestFit="1" customWidth="1"/>
    <col min="8" max="8" width="24.5703125" style="21" customWidth="1"/>
    <col min="9" max="9" width="32.42578125" style="21" customWidth="1"/>
    <col min="10" max="10" width="20.140625" style="21" customWidth="1"/>
    <col min="11" max="16384" width="8.85546875" style="21"/>
  </cols>
  <sheetData>
    <row r="1" spans="1:6" ht="16.5" thickBot="1">
      <c r="A1" s="1372" t="s">
        <v>168</v>
      </c>
      <c r="B1" s="1373"/>
      <c r="C1" s="1373"/>
      <c r="D1" s="1374" t="str">
        <f>'Development Program'!B9</f>
        <v>Chinook Condos</v>
      </c>
      <c r="E1" s="1374"/>
    </row>
    <row r="2" spans="1:6" ht="12.75">
      <c r="A2" s="22"/>
      <c r="B2" s="23"/>
      <c r="C2" s="23"/>
      <c r="D2" s="517">
        <v>0</v>
      </c>
      <c r="E2" s="278" t="s">
        <v>169</v>
      </c>
    </row>
    <row r="3" spans="1:6" ht="12.75">
      <c r="A3" s="24" t="s">
        <v>170</v>
      </c>
      <c r="B3" s="25" t="s">
        <v>171</v>
      </c>
      <c r="C3" s="25" t="s">
        <v>299</v>
      </c>
      <c r="D3" s="25" t="s">
        <v>173</v>
      </c>
      <c r="E3" s="26" t="s">
        <v>174</v>
      </c>
    </row>
    <row r="4" spans="1:6" ht="12.75">
      <c r="A4" s="284" t="s">
        <v>175</v>
      </c>
      <c r="B4" s="428">
        <v>0</v>
      </c>
      <c r="C4" s="428">
        <v>1000</v>
      </c>
      <c r="D4" s="429">
        <v>7</v>
      </c>
      <c r="E4" s="283">
        <f>12*B4*C4*D4</f>
        <v>0</v>
      </c>
    </row>
    <row r="5" spans="1:6" ht="12.75" hidden="1">
      <c r="A5" s="279"/>
      <c r="B5" s="428"/>
      <c r="C5" s="428"/>
      <c r="D5" s="429"/>
      <c r="E5" s="283"/>
    </row>
    <row r="6" spans="1:6" ht="12.75" hidden="1">
      <c r="A6" s="284"/>
      <c r="B6" s="430"/>
      <c r="C6" s="430"/>
      <c r="D6" s="429"/>
      <c r="E6" s="283"/>
    </row>
    <row r="7" spans="1:6" ht="12.75" hidden="1">
      <c r="A7" s="284"/>
      <c r="B7" s="428"/>
      <c r="C7" s="428"/>
      <c r="D7" s="429"/>
      <c r="E7" s="283"/>
    </row>
    <row r="8" spans="1:6" ht="12.75" hidden="1">
      <c r="A8" s="284"/>
      <c r="B8" s="281"/>
      <c r="C8" s="281"/>
      <c r="D8" s="286"/>
      <c r="E8" s="283"/>
    </row>
    <row r="9" spans="1:6" ht="13.5" thickBot="1">
      <c r="A9" s="284"/>
      <c r="B9" s="281"/>
      <c r="C9" s="281"/>
      <c r="D9" s="286"/>
      <c r="E9" s="287"/>
    </row>
    <row r="10" spans="1:6" ht="14.25" thickTop="1" thickBot="1">
      <c r="A10" s="27" t="s">
        <v>176</v>
      </c>
      <c r="B10" s="28">
        <f>SUM(B4:B9)</f>
        <v>0</v>
      </c>
      <c r="C10" s="29">
        <v>1</v>
      </c>
      <c r="D10" s="30"/>
      <c r="E10" s="288">
        <f>SUM(E4:E9)</f>
        <v>0</v>
      </c>
    </row>
    <row r="11" spans="1:6" ht="14.25" thickTop="1" thickBot="1">
      <c r="A11" s="31" t="s">
        <v>177</v>
      </c>
      <c r="B11" s="32"/>
      <c r="C11" s="33">
        <f>IF(B10=0,0,C10/B10)</f>
        <v>0</v>
      </c>
      <c r="D11" s="34">
        <f>(E10/12)/C10</f>
        <v>0</v>
      </c>
      <c r="E11" s="35"/>
    </row>
    <row r="12" spans="1:6" ht="12.75">
      <c r="A12" s="36"/>
      <c r="B12" s="37"/>
      <c r="C12" s="38"/>
      <c r="D12" s="39"/>
    </row>
    <row r="13" spans="1:6" ht="12.75">
      <c r="A13" s="24" t="s">
        <v>178</v>
      </c>
      <c r="B13" s="25" t="s">
        <v>179</v>
      </c>
      <c r="C13" s="25" t="s">
        <v>180</v>
      </c>
      <c r="D13" s="25" t="s">
        <v>174</v>
      </c>
    </row>
    <row r="14" spans="1:6" ht="21" customHeight="1">
      <c r="A14" s="289" t="s">
        <v>5</v>
      </c>
      <c r="B14" s="527">
        <v>6000</v>
      </c>
      <c r="C14" s="528">
        <f>Assumptions!I7</f>
        <v>37</v>
      </c>
      <c r="D14" s="291">
        <f>B14*C14</f>
        <v>222000</v>
      </c>
    </row>
    <row r="15" spans="1:6" ht="13.5" thickBot="1">
      <c r="A15" s="292" t="s">
        <v>4</v>
      </c>
      <c r="B15" s="529">
        <v>6000</v>
      </c>
      <c r="C15" s="530">
        <f>Assumptions!I7</f>
        <v>37</v>
      </c>
      <c r="D15" s="295">
        <f>B15*C15</f>
        <v>222000</v>
      </c>
      <c r="F15" s="21">
        <f>10000/1000</f>
        <v>10</v>
      </c>
    </row>
    <row r="16" spans="1:6" ht="14.25" thickTop="1" thickBot="1">
      <c r="A16" s="40" t="s">
        <v>181</v>
      </c>
      <c r="B16" s="41">
        <f>SUM(B14:B15)</f>
        <v>12000</v>
      </c>
      <c r="C16" s="42">
        <f>IF(B16=0,0,D16/B16)</f>
        <v>37</v>
      </c>
      <c r="D16" s="43">
        <f>SUM(D14:D15)</f>
        <v>444000</v>
      </c>
    </row>
    <row r="17" spans="1:5" ht="12.75">
      <c r="A17" s="299" t="s">
        <v>182</v>
      </c>
      <c r="B17" s="297"/>
    </row>
    <row r="18" spans="1:5" ht="12.75">
      <c r="A18" s="256" t="s">
        <v>183</v>
      </c>
      <c r="B18" s="499">
        <v>0</v>
      </c>
      <c r="C18" s="45"/>
      <c r="D18" s="46"/>
    </row>
    <row r="19" spans="1:5" ht="13.5" thickBot="1">
      <c r="A19" s="263" t="s">
        <v>184</v>
      </c>
      <c r="B19" s="499">
        <v>40</v>
      </c>
      <c r="C19" s="45"/>
      <c r="D19" s="46"/>
    </row>
    <row r="20" spans="1:5" ht="14.25" thickTop="1" thickBot="1">
      <c r="A20" s="47" t="s">
        <v>185</v>
      </c>
      <c r="B20" s="48">
        <f>SUM(B18:B19)</f>
        <v>40</v>
      </c>
      <c r="C20" s="45"/>
      <c r="D20" s="46"/>
    </row>
    <row r="21" spans="1:5" ht="12.75">
      <c r="A21" s="299" t="s">
        <v>186</v>
      </c>
      <c r="B21" s="518" t="str">
        <f>D1</f>
        <v>Chinook Condos</v>
      </c>
      <c r="C21" s="49"/>
      <c r="D21" s="49"/>
      <c r="E21" s="49"/>
    </row>
    <row r="22" spans="1:5" ht="12.75">
      <c r="A22" s="301" t="s">
        <v>187</v>
      </c>
      <c r="B22" s="302">
        <f>'Development Program'!D9</f>
        <v>407940</v>
      </c>
      <c r="C22" s="50"/>
      <c r="D22" s="51"/>
      <c r="E22" s="49"/>
    </row>
    <row r="23" spans="1:5" ht="12.75">
      <c r="A23" s="301" t="s">
        <v>188</v>
      </c>
      <c r="B23" s="302">
        <f>B16</f>
        <v>12000</v>
      </c>
      <c r="C23" s="50"/>
      <c r="D23" s="51"/>
      <c r="E23" s="49"/>
    </row>
    <row r="24" spans="1:5" ht="12.75">
      <c r="A24" s="303">
        <f>Assumptions!D28</f>
        <v>400</v>
      </c>
      <c r="B24" s="302">
        <f>B20*A24</f>
        <v>16000</v>
      </c>
      <c r="C24" s="192" t="s">
        <v>311</v>
      </c>
      <c r="D24" s="51"/>
      <c r="E24" s="49"/>
    </row>
    <row r="25" spans="1:5" ht="12.75">
      <c r="A25" s="431">
        <v>0.1</v>
      </c>
      <c r="B25" s="302">
        <f>(1+A25)*(B23)</f>
        <v>13200.000000000002</v>
      </c>
      <c r="C25" s="50"/>
      <c r="D25" s="51"/>
      <c r="E25" s="49"/>
    </row>
    <row r="26" spans="1:5" ht="13.5" thickBot="1">
      <c r="A26" s="432">
        <v>2</v>
      </c>
      <c r="B26" s="306">
        <f>B25/A26</f>
        <v>6600.0000000000009</v>
      </c>
      <c r="C26" s="50"/>
      <c r="D26" s="51"/>
      <c r="E26" s="49"/>
    </row>
    <row r="27" spans="1:5" ht="15" customHeight="1" thickBot="1">
      <c r="A27" s="1286" t="s">
        <v>189</v>
      </c>
      <c r="B27" s="1287"/>
      <c r="C27" s="1375" t="str">
        <f>D1</f>
        <v>Chinook Condos</v>
      </c>
      <c r="D27" s="1259"/>
      <c r="E27" s="49"/>
    </row>
    <row r="28" spans="1:5" ht="14.45" customHeight="1" thickBot="1">
      <c r="A28" s="307" t="s">
        <v>190</v>
      </c>
      <c r="B28" s="308" t="s">
        <v>191</v>
      </c>
      <c r="C28" s="308" t="s">
        <v>192</v>
      </c>
      <c r="D28" s="309" t="s">
        <v>193</v>
      </c>
      <c r="E28" s="49"/>
    </row>
    <row r="29" spans="1:5" ht="31.35" hidden="1" customHeight="1">
      <c r="A29" s="310" t="s">
        <v>194</v>
      </c>
      <c r="B29" s="311">
        <f>IF(D29=0,0,D29/B10)</f>
        <v>0</v>
      </c>
      <c r="C29" s="312">
        <f>IF(D29=0,0,D29/C10)</f>
        <v>0</v>
      </c>
      <c r="D29" s="52">
        <f>E10</f>
        <v>0</v>
      </c>
      <c r="E29" s="49"/>
    </row>
    <row r="30" spans="1:5" ht="12.75">
      <c r="A30" s="313" t="str">
        <f>A16</f>
        <v>Total Commercial</v>
      </c>
      <c r="B30" s="1330" t="s">
        <v>195</v>
      </c>
      <c r="C30" s="1347"/>
      <c r="D30" s="53">
        <f>D16</f>
        <v>444000</v>
      </c>
      <c r="E30" s="49"/>
    </row>
    <row r="31" spans="1:5" ht="12.75">
      <c r="A31" s="314"/>
      <c r="B31" s="1332" t="s">
        <v>196</v>
      </c>
      <c r="C31" s="1332"/>
      <c r="D31" s="315">
        <f>SUM(D29:D30)</f>
        <v>444000</v>
      </c>
      <c r="E31" s="49"/>
    </row>
    <row r="32" spans="1:5" ht="12.75">
      <c r="A32" s="316" t="s">
        <v>197</v>
      </c>
      <c r="B32" s="315" t="s">
        <v>307</v>
      </c>
      <c r="C32" s="315"/>
      <c r="D32" s="315"/>
      <c r="E32" s="49"/>
    </row>
    <row r="33" spans="1:5" ht="12.75">
      <c r="A33" s="314" t="s">
        <v>308</v>
      </c>
      <c r="B33" s="317">
        <f>Assumptions!D36</f>
        <v>0</v>
      </c>
      <c r="C33" s="318"/>
      <c r="D33" s="317">
        <f>B33*B20*12</f>
        <v>0</v>
      </c>
      <c r="E33" s="49"/>
    </row>
    <row r="34" spans="1:5" ht="12.75">
      <c r="A34" s="314" t="s">
        <v>201</v>
      </c>
      <c r="B34" s="317"/>
      <c r="C34" s="318"/>
      <c r="D34" s="317">
        <f>Assumptions!I14*D31</f>
        <v>31080.000000000004</v>
      </c>
      <c r="E34" s="49"/>
    </row>
    <row r="35" spans="1:5" ht="13.5" thickBot="1">
      <c r="A35" s="54" t="s">
        <v>202</v>
      </c>
      <c r="B35" s="1341"/>
      <c r="C35" s="1342"/>
      <c r="D35" s="55">
        <f>SUM(D33:D34)</f>
        <v>31080.000000000004</v>
      </c>
      <c r="E35" s="49"/>
    </row>
    <row r="36" spans="1:5" ht="14.25" thickTop="1" thickBot="1">
      <c r="A36" s="56">
        <v>0.05</v>
      </c>
      <c r="B36" s="1348"/>
      <c r="C36" s="1349"/>
      <c r="D36" s="57">
        <f>-A36*D31</f>
        <v>-22200</v>
      </c>
      <c r="E36" s="49"/>
    </row>
    <row r="37" spans="1:5" ht="14.25" thickTop="1" thickBot="1">
      <c r="A37" s="319" t="s">
        <v>203</v>
      </c>
      <c r="B37" s="58"/>
      <c r="C37" s="320"/>
      <c r="D37" s="59">
        <f>D31+D35+D36</f>
        <v>452880</v>
      </c>
      <c r="E37" s="49"/>
    </row>
    <row r="38" spans="1:5" ht="12.75">
      <c r="A38" s="24" t="s">
        <v>204</v>
      </c>
      <c r="B38" s="25" t="s">
        <v>191</v>
      </c>
      <c r="C38" s="25" t="s">
        <v>205</v>
      </c>
      <c r="D38" s="60" t="s">
        <v>193</v>
      </c>
      <c r="E38" s="49"/>
    </row>
    <row r="39" spans="1:5" ht="13.5" thickBot="1">
      <c r="A39" s="61" t="s">
        <v>206</v>
      </c>
      <c r="B39" s="62"/>
      <c r="C39" s="62"/>
      <c r="D39" s="62">
        <f>-Assumptions!I15*D31</f>
        <v>-15540.000000000002</v>
      </c>
      <c r="E39" s="49"/>
    </row>
    <row r="40" spans="1:5" ht="13.5" thickBot="1">
      <c r="A40" s="321" t="s">
        <v>207</v>
      </c>
      <c r="B40" s="322"/>
      <c r="C40" s="323"/>
      <c r="D40" s="322">
        <f>D37+D39</f>
        <v>437340</v>
      </c>
      <c r="E40" s="49"/>
    </row>
    <row r="41" spans="1:5" ht="13.5" thickBot="1">
      <c r="A41" s="324" t="s">
        <v>208</v>
      </c>
      <c r="B41" s="63" t="s">
        <v>209</v>
      </c>
      <c r="C41" s="64">
        <f>Assumptions!K10</f>
        <v>4.4999999999999998E-2</v>
      </c>
      <c r="D41" s="325">
        <f>D40/C41</f>
        <v>9718666.6666666679</v>
      </c>
      <c r="E41" s="49"/>
    </row>
    <row r="42" spans="1:5" ht="13.5" thickBot="1">
      <c r="A42" s="1368" t="s">
        <v>210</v>
      </c>
      <c r="B42" s="1369"/>
      <c r="C42" s="1370" t="str">
        <f>D1</f>
        <v>Chinook Condos</v>
      </c>
      <c r="D42" s="1371"/>
    </row>
    <row r="43" spans="1:5" ht="13.5" thickBot="1">
      <c r="A43" s="299"/>
      <c r="B43" s="65" t="s">
        <v>211</v>
      </c>
      <c r="C43" s="65" t="s">
        <v>212</v>
      </c>
      <c r="D43" s="65" t="s">
        <v>205</v>
      </c>
    </row>
    <row r="44" spans="1:5" ht="12.75">
      <c r="A44" s="229" t="s">
        <v>213</v>
      </c>
      <c r="B44" s="433">
        <f>Assumptions!I25</f>
        <v>106</v>
      </c>
      <c r="C44" s="326">
        <f>B44*(C10+B16)</f>
        <v>1272106</v>
      </c>
      <c r="D44" s="519">
        <f>C44/B$23</f>
        <v>106.00883333333333</v>
      </c>
    </row>
    <row r="45" spans="1:5" ht="12.75">
      <c r="A45" s="66" t="s">
        <v>214</v>
      </c>
      <c r="B45" s="434">
        <f>Assumptions!D31</f>
        <v>10000</v>
      </c>
      <c r="C45" s="67">
        <f>B20*B45</f>
        <v>400000</v>
      </c>
      <c r="D45" s="519">
        <f t="shared" ref="D45:D64" si="0">C45/B$23</f>
        <v>33.333333333333336</v>
      </c>
    </row>
    <row r="46" spans="1:5" ht="12.75">
      <c r="A46" s="66" t="s">
        <v>59</v>
      </c>
      <c r="B46" s="435">
        <v>0.1</v>
      </c>
      <c r="C46" s="67">
        <f>B46*C44</f>
        <v>127210.6</v>
      </c>
      <c r="D46" s="519">
        <f t="shared" si="0"/>
        <v>10.600883333333334</v>
      </c>
    </row>
    <row r="47" spans="1:5" ht="12.75">
      <c r="A47" s="66" t="s">
        <v>11</v>
      </c>
      <c r="B47" s="327" t="s">
        <v>67</v>
      </c>
      <c r="C47" s="67">
        <v>0</v>
      </c>
      <c r="D47" s="519"/>
    </row>
    <row r="48" spans="1:5" ht="25.5">
      <c r="A48" s="66" t="s">
        <v>215</v>
      </c>
      <c r="B48" s="328" t="s">
        <v>279</v>
      </c>
      <c r="C48" s="436">
        <v>700000</v>
      </c>
      <c r="D48" s="519">
        <f t="shared" si="0"/>
        <v>58.333333333333336</v>
      </c>
    </row>
    <row r="49" spans="1:7" ht="12.75">
      <c r="A49" s="66" t="s">
        <v>62</v>
      </c>
      <c r="B49" s="520">
        <v>20</v>
      </c>
      <c r="C49" s="67">
        <f>B23*B49</f>
        <v>240000</v>
      </c>
      <c r="D49" s="519">
        <f t="shared" si="0"/>
        <v>20</v>
      </c>
    </row>
    <row r="50" spans="1:7" ht="23.25" customHeight="1">
      <c r="A50" s="66" t="s">
        <v>217</v>
      </c>
      <c r="B50" s="437" t="s">
        <v>218</v>
      </c>
      <c r="C50" s="67">
        <f>'Development Program'!I20</f>
        <v>3000000</v>
      </c>
      <c r="D50" s="519">
        <f t="shared" si="0"/>
        <v>250</v>
      </c>
    </row>
    <row r="51" spans="1:7" ht="12.75">
      <c r="A51" s="256" t="s">
        <v>66</v>
      </c>
      <c r="B51" s="330" t="s">
        <v>67</v>
      </c>
      <c r="C51" s="438">
        <v>400000</v>
      </c>
      <c r="D51" s="519">
        <f t="shared" si="0"/>
        <v>33.333333333333336</v>
      </c>
    </row>
    <row r="52" spans="1:7" ht="12.75">
      <c r="A52" s="256" t="s">
        <v>68</v>
      </c>
      <c r="B52" s="330" t="s">
        <v>67</v>
      </c>
      <c r="C52" s="438">
        <v>40000</v>
      </c>
      <c r="D52" s="519">
        <f t="shared" si="0"/>
        <v>3.3333333333333335</v>
      </c>
      <c r="E52" s="68"/>
    </row>
    <row r="53" spans="1:7" ht="49.5" customHeight="1">
      <c r="A53" s="256" t="s">
        <v>69</v>
      </c>
      <c r="B53" s="439">
        <v>0.04</v>
      </c>
      <c r="C53" s="331">
        <f>B53*(C44+C46)</f>
        <v>55972.664000000004</v>
      </c>
      <c r="D53" s="519">
        <f t="shared" si="0"/>
        <v>4.6643886666666674</v>
      </c>
    </row>
    <row r="54" spans="1:7" ht="22.5" customHeight="1">
      <c r="A54" s="256" t="s">
        <v>71</v>
      </c>
      <c r="B54" s="440">
        <v>0.03</v>
      </c>
      <c r="C54" s="332">
        <f>B54*SUM(C44:C53)</f>
        <v>187058.67791999999</v>
      </c>
      <c r="D54" s="519">
        <f t="shared" si="0"/>
        <v>15.588223159999998</v>
      </c>
    </row>
    <row r="55" spans="1:7" ht="12.75">
      <c r="A55" s="256" t="s">
        <v>73</v>
      </c>
      <c r="B55" s="439">
        <v>0.02</v>
      </c>
      <c r="C55" s="331">
        <f>B55*(C44+C46)</f>
        <v>27986.332000000002</v>
      </c>
      <c r="D55" s="519">
        <f t="shared" si="0"/>
        <v>2.3321943333333337</v>
      </c>
    </row>
    <row r="56" spans="1:7" ht="26.25" customHeight="1">
      <c r="A56" s="256" t="s">
        <v>219</v>
      </c>
      <c r="B56" s="333" t="s">
        <v>67</v>
      </c>
      <c r="C56" s="438">
        <v>300000</v>
      </c>
      <c r="D56" s="519">
        <f t="shared" si="0"/>
        <v>25</v>
      </c>
    </row>
    <row r="57" spans="1:7" ht="12.75">
      <c r="A57" s="256" t="s">
        <v>77</v>
      </c>
      <c r="B57" s="521">
        <v>5</v>
      </c>
      <c r="C57" s="331">
        <f>B57*B16</f>
        <v>60000</v>
      </c>
      <c r="D57" s="519">
        <f t="shared" si="0"/>
        <v>5</v>
      </c>
    </row>
    <row r="58" spans="1:7" ht="12.75">
      <c r="A58" s="256" t="s">
        <v>79</v>
      </c>
      <c r="B58" s="330" t="s">
        <v>67</v>
      </c>
      <c r="C58" s="438">
        <v>800000</v>
      </c>
      <c r="D58" s="519">
        <f t="shared" si="0"/>
        <v>66.666666666666671</v>
      </c>
    </row>
    <row r="59" spans="1:7" ht="12.75">
      <c r="A59" s="256" t="s">
        <v>80</v>
      </c>
      <c r="B59" s="441">
        <v>6</v>
      </c>
      <c r="C59" s="331">
        <f>-B59*(D39/12)</f>
        <v>7770.0000000000018</v>
      </c>
      <c r="D59" s="519">
        <f t="shared" si="0"/>
        <v>0.64750000000000019</v>
      </c>
    </row>
    <row r="60" spans="1:7" ht="12.75">
      <c r="A60" s="256" t="s">
        <v>220</v>
      </c>
      <c r="B60" s="69">
        <v>75</v>
      </c>
      <c r="C60" s="331">
        <f>B16*B60</f>
        <v>900000</v>
      </c>
      <c r="D60" s="519">
        <f t="shared" si="0"/>
        <v>75</v>
      </c>
    </row>
    <row r="61" spans="1:7" ht="27" customHeight="1">
      <c r="A61" s="256" t="s">
        <v>221</v>
      </c>
      <c r="B61" s="442">
        <v>0.06</v>
      </c>
      <c r="C61" s="332">
        <f>B61*D16*5</f>
        <v>133200</v>
      </c>
      <c r="D61" s="519">
        <f t="shared" si="0"/>
        <v>11.1</v>
      </c>
    </row>
    <row r="62" spans="1:7" ht="27" customHeight="1">
      <c r="A62" s="256" t="s">
        <v>83</v>
      </c>
      <c r="B62" s="443">
        <v>1.4999999999999999E-2</v>
      </c>
      <c r="C62" s="332">
        <v>89850</v>
      </c>
      <c r="D62" s="519">
        <f t="shared" si="0"/>
        <v>7.4874999999999998</v>
      </c>
      <c r="E62" s="1264" t="s">
        <v>280</v>
      </c>
      <c r="F62" s="1265"/>
      <c r="G62" s="70">
        <f>B62*B75</f>
        <v>86940</v>
      </c>
    </row>
    <row r="63" spans="1:7" ht="12.75">
      <c r="A63" s="334" t="s">
        <v>84</v>
      </c>
      <c r="B63" s="444">
        <v>7.0000000000000007E-2</v>
      </c>
      <c r="C63" s="332">
        <v>419300</v>
      </c>
      <c r="D63" s="519">
        <f t="shared" si="0"/>
        <v>34.94166666666667</v>
      </c>
      <c r="E63" s="1264" t="s">
        <v>280</v>
      </c>
      <c r="F63" s="1265"/>
      <c r="G63" s="71">
        <f>B63*B75</f>
        <v>405720.00000000006</v>
      </c>
    </row>
    <row r="64" spans="1:7" ht="13.5" thickBot="1">
      <c r="A64" s="263" t="s">
        <v>223</v>
      </c>
      <c r="B64" s="335" t="s">
        <v>67</v>
      </c>
      <c r="C64" s="445">
        <v>500000</v>
      </c>
      <c r="D64" s="519">
        <f t="shared" si="0"/>
        <v>41.666666666666664</v>
      </c>
    </row>
    <row r="65" spans="1:4" ht="14.25" thickTop="1" thickBot="1">
      <c r="A65" s="337" t="s">
        <v>224</v>
      </c>
      <c r="B65" s="338"/>
      <c r="C65" s="72">
        <f>SUM(C44:C64)</f>
        <v>9660454.2739199996</v>
      </c>
      <c r="D65" s="72">
        <f>C65/B23</f>
        <v>805.03785615999993</v>
      </c>
    </row>
    <row r="66" spans="1:4" ht="12.75">
      <c r="A66" s="339" t="s">
        <v>225</v>
      </c>
      <c r="B66" s="340">
        <f>D40/C65</f>
        <v>4.5271162990820416E-2</v>
      </c>
    </row>
    <row r="67" spans="1:4" ht="12.75">
      <c r="A67" s="341" t="s">
        <v>226</v>
      </c>
      <c r="B67" s="342">
        <f>(D41/C65)-1</f>
        <v>6.0258442404537149E-3</v>
      </c>
      <c r="C67" s="73"/>
      <c r="D67" s="74"/>
    </row>
    <row r="68" spans="1:4" ht="13.5" thickBot="1">
      <c r="A68" s="343">
        <v>0.2</v>
      </c>
      <c r="B68" s="344">
        <f>(D41/(1+A68))</f>
        <v>8098888.8888888899</v>
      </c>
    </row>
    <row r="69" spans="1:4" ht="13.5" thickBot="1">
      <c r="A69" s="446">
        <v>0.2</v>
      </c>
      <c r="B69" s="344">
        <f>ROUND((D41/(1+A69))-C65,-3)</f>
        <v>-1562000</v>
      </c>
      <c r="C69" s="75" t="s">
        <v>227</v>
      </c>
    </row>
    <row r="70" spans="1:4" ht="13.5" thickBot="1">
      <c r="A70" s="76"/>
      <c r="B70" s="77"/>
    </row>
    <row r="71" spans="1:4" ht="15" customHeight="1" thickBot="1">
      <c r="A71" s="1314" t="s">
        <v>228</v>
      </c>
      <c r="B71" s="1315"/>
      <c r="C71" s="522" t="str">
        <f>D1</f>
        <v>Chinook Condos</v>
      </c>
    </row>
    <row r="72" spans="1:4" ht="13.5" thickBot="1">
      <c r="A72" s="347"/>
      <c r="B72" s="348" t="s">
        <v>229</v>
      </c>
      <c r="C72" s="349" t="s">
        <v>309</v>
      </c>
    </row>
    <row r="73" spans="1:4" ht="12.75">
      <c r="A73" s="78" t="s">
        <v>230</v>
      </c>
      <c r="B73" s="79">
        <f>IF(B69&lt;0,B69,0)</f>
        <v>-1562000</v>
      </c>
      <c r="C73" s="288">
        <f>B73/B23</f>
        <v>-130.16666666666666</v>
      </c>
    </row>
    <row r="74" spans="1:4" ht="12.75">
      <c r="A74" s="80" t="s">
        <v>231</v>
      </c>
      <c r="B74" s="79">
        <f>C65+B73</f>
        <v>8098454.2739199996</v>
      </c>
      <c r="C74" s="288">
        <f>B74/B$23</f>
        <v>674.8711894933333</v>
      </c>
    </row>
    <row r="75" spans="1:4" ht="12.75">
      <c r="A75" s="448">
        <f>Assumptions!K18</f>
        <v>0.6</v>
      </c>
      <c r="B75" s="81">
        <f>ROUND(A75*C65,-3)</f>
        <v>5796000</v>
      </c>
      <c r="C75" s="288">
        <f t="shared" ref="C75:C77" si="1">B75/B$23</f>
        <v>483</v>
      </c>
    </row>
    <row r="76" spans="1:4" ht="24" customHeight="1" thickBot="1">
      <c r="A76" s="351">
        <f>1-A75</f>
        <v>0.4</v>
      </c>
      <c r="B76" s="81">
        <f>ROUND(A76*C65,-3)</f>
        <v>3864000</v>
      </c>
      <c r="C76" s="288">
        <f t="shared" si="1"/>
        <v>322</v>
      </c>
      <c r="D76" s="74"/>
    </row>
    <row r="77" spans="1:4" ht="35.450000000000003" customHeight="1" thickTop="1">
      <c r="A77" s="126" t="s">
        <v>232</v>
      </c>
      <c r="B77" s="449">
        <f>B75+B76</f>
        <v>9660000</v>
      </c>
      <c r="C77" s="288">
        <f t="shared" si="1"/>
        <v>805</v>
      </c>
    </row>
    <row r="78" spans="1:4" ht="13.5" thickBot="1">
      <c r="A78" s="354"/>
      <c r="B78" s="212"/>
      <c r="C78" s="355"/>
    </row>
    <row r="79" spans="1:4" ht="39" customHeight="1" thickBot="1">
      <c r="A79" s="1292" t="s">
        <v>233</v>
      </c>
      <c r="B79" s="1293"/>
      <c r="C79" s="346" t="str">
        <f>D1</f>
        <v>Chinook Condos</v>
      </c>
    </row>
    <row r="80" spans="1:4" ht="48" customHeight="1" thickBot="1">
      <c r="A80" s="83"/>
      <c r="B80" s="356" t="s">
        <v>234</v>
      </c>
      <c r="C80" s="356"/>
    </row>
    <row r="81" spans="1:5" ht="36.75" customHeight="1">
      <c r="A81" s="357" t="s">
        <v>235</v>
      </c>
      <c r="B81" s="359">
        <f>ROUND(D41,-2)</f>
        <v>9718700</v>
      </c>
      <c r="C81" s="359"/>
    </row>
    <row r="82" spans="1:5" ht="29.25" customHeight="1" thickBot="1">
      <c r="A82" s="451">
        <v>0.02</v>
      </c>
      <c r="B82" s="452">
        <f>(-ROUND(A82*B81,-2))</f>
        <v>-194400</v>
      </c>
      <c r="C82" s="362"/>
    </row>
    <row r="83" spans="1:5" ht="37.5" customHeight="1" thickTop="1" thickBot="1">
      <c r="A83" s="363" t="s">
        <v>236</v>
      </c>
      <c r="B83" s="84">
        <f>B81+B82</f>
        <v>9524300</v>
      </c>
      <c r="C83" s="84"/>
      <c r="E83" s="85"/>
    </row>
    <row r="84" spans="1:5" ht="29.25" customHeight="1">
      <c r="A84" s="357" t="s">
        <v>237</v>
      </c>
      <c r="B84" s="359">
        <f>-B75</f>
        <v>-5796000</v>
      </c>
      <c r="C84" s="359"/>
    </row>
    <row r="85" spans="1:5" ht="13.5" thickBot="1">
      <c r="A85" s="364" t="s">
        <v>238</v>
      </c>
      <c r="B85" s="362">
        <f>-B76</f>
        <v>-3864000</v>
      </c>
      <c r="C85" s="362"/>
    </row>
    <row r="86" spans="1:5" ht="14.25" thickTop="1" thickBot="1">
      <c r="A86" s="135" t="s">
        <v>239</v>
      </c>
      <c r="B86" s="86">
        <f>ROUND(B83+B84+B85,-2)</f>
        <v>-135700</v>
      </c>
      <c r="C86" s="86"/>
      <c r="D86" s="87"/>
    </row>
    <row r="87" spans="1:5" ht="13.5" thickBot="1">
      <c r="A87" s="1277" t="s">
        <v>310</v>
      </c>
      <c r="B87" s="1278"/>
      <c r="C87" s="1279"/>
    </row>
    <row r="88" spans="1:5" ht="12.75">
      <c r="A88" s="366" t="s">
        <v>241</v>
      </c>
      <c r="B88" s="367">
        <f>(B81)/B$23</f>
        <v>809.89166666666665</v>
      </c>
      <c r="C88" s="367"/>
    </row>
    <row r="89" spans="1:5" ht="23.25" customHeight="1" thickBot="1">
      <c r="A89" s="368" t="s">
        <v>242</v>
      </c>
      <c r="B89" s="367">
        <f>(B83)/B$23</f>
        <v>793.69166666666672</v>
      </c>
      <c r="C89" s="369"/>
    </row>
    <row r="90" spans="1:5" ht="14.45" hidden="1" customHeight="1">
      <c r="A90" s="1280" t="s">
        <v>243</v>
      </c>
      <c r="B90" s="1281"/>
      <c r="C90" s="1282"/>
    </row>
    <row r="91" spans="1:5" ht="13.5" thickBot="1">
      <c r="A91" s="354"/>
      <c r="B91" s="88"/>
      <c r="C91" s="88"/>
    </row>
    <row r="92" spans="1:5" ht="29.25" customHeight="1">
      <c r="A92" s="89"/>
      <c r="B92" s="356" t="s">
        <v>234</v>
      </c>
      <c r="C92" s="356"/>
    </row>
    <row r="93" spans="1:5" ht="12.75">
      <c r="A93" s="370" t="s">
        <v>244</v>
      </c>
      <c r="B93" s="371">
        <f>(B86+B76)/B76</f>
        <v>0.96488095238095239</v>
      </c>
      <c r="C93" s="371"/>
    </row>
    <row r="94" spans="1:5" ht="23.25" customHeight="1">
      <c r="A94" s="372" t="s">
        <v>245</v>
      </c>
      <c r="B94" s="165" t="e">
        <f>'F Draw'!B38</f>
        <v>#REF!</v>
      </c>
      <c r="C94" s="165"/>
      <c r="D94" s="90"/>
    </row>
    <row r="95" spans="1:5" ht="23.25" customHeight="1">
      <c r="A95" s="370" t="s">
        <v>247</v>
      </c>
      <c r="B95" s="373">
        <f>D40/B75</f>
        <v>7.5455486542443065E-2</v>
      </c>
      <c r="C95" s="373"/>
    </row>
    <row r="96" spans="1:5" ht="23.25" customHeight="1">
      <c r="A96" s="370" t="s">
        <v>248</v>
      </c>
      <c r="B96" s="374">
        <f>C41</f>
        <v>4.4999999999999998E-2</v>
      </c>
      <c r="C96" s="374"/>
    </row>
    <row r="103" spans="1:4" ht="23.25" hidden="1" customHeight="1" thickBot="1"/>
    <row r="109" spans="1:4" ht="23.25" customHeight="1">
      <c r="A109" s="166"/>
      <c r="B109" s="166"/>
      <c r="C109" s="166"/>
      <c r="D109" s="46"/>
    </row>
  </sheetData>
  <mergeCells count="16">
    <mergeCell ref="B35:C35"/>
    <mergeCell ref="B30:C30"/>
    <mergeCell ref="B31:C31"/>
    <mergeCell ref="A1:C1"/>
    <mergeCell ref="D1:E1"/>
    <mergeCell ref="A27:B27"/>
    <mergeCell ref="C27:D27"/>
    <mergeCell ref="A87:C87"/>
    <mergeCell ref="A90:C90"/>
    <mergeCell ref="B36:C36"/>
    <mergeCell ref="E62:F62"/>
    <mergeCell ref="E63:F63"/>
    <mergeCell ref="A42:B42"/>
    <mergeCell ref="C42:D42"/>
    <mergeCell ref="A71:B71"/>
    <mergeCell ref="A79:B79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35" max="8" man="1"/>
    <brk id="53" max="8" man="1"/>
    <brk id="83" max="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60A6-D78B-4825-AA1E-88D18D808DB5}">
  <sheetPr>
    <tabColor rgb="FF0070C0"/>
  </sheetPr>
  <dimension ref="A1:BW598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XFD1048576"/>
    </sheetView>
  </sheetViews>
  <sheetFormatPr defaultColWidth="8.85546875" defaultRowHeight="15"/>
  <cols>
    <col min="1" max="1" width="38.5703125" style="21" bestFit="1" customWidth="1"/>
    <col min="2" max="2" width="14.5703125" style="21" customWidth="1"/>
    <col min="3" max="3" width="17.5703125" style="21" customWidth="1"/>
    <col min="4" max="4" width="11" style="21" bestFit="1" customWidth="1"/>
    <col min="5" max="5" width="15.42578125" style="21" bestFit="1" customWidth="1"/>
    <col min="6" max="6" width="17.5703125" style="21" customWidth="1"/>
    <col min="7" max="7" width="11.85546875" style="139" customWidth="1"/>
    <col min="8" max="15" width="10.5703125" style="21" bestFit="1" customWidth="1"/>
    <col min="16" max="16" width="19.42578125" style="21" customWidth="1"/>
    <col min="17" max="17" width="18.42578125" style="21" customWidth="1"/>
    <col min="18" max="21" width="10.5703125" style="21" bestFit="1" customWidth="1"/>
    <col min="22" max="22" width="13.5703125" style="21" customWidth="1"/>
    <col min="23" max="23" width="14.42578125" style="21" customWidth="1"/>
    <col min="24" max="27" width="16.5703125" style="21" customWidth="1"/>
    <col min="28" max="28" width="16.5703125" style="140" customWidth="1"/>
    <col min="29" max="30" width="16.5703125" style="21" hidden="1" customWidth="1"/>
    <col min="31" max="31" width="16.5703125" style="140" hidden="1" customWidth="1"/>
    <col min="32" max="46" width="16.5703125" style="21" hidden="1" customWidth="1"/>
    <col min="47" max="47" width="16.5703125" style="141" hidden="1" customWidth="1"/>
    <col min="48" max="48" width="17" style="21" bestFit="1" customWidth="1"/>
    <col min="49" max="49" width="15.5703125" style="21" customWidth="1"/>
    <col min="50" max="50" width="19.140625" style="21" customWidth="1"/>
    <col min="51" max="73" width="17" customWidth="1"/>
    <col min="74" max="74" width="16.5703125" customWidth="1"/>
    <col min="75" max="75" width="17.85546875" bestFit="1" customWidth="1"/>
    <col min="76" max="76" width="9.5703125" style="21" bestFit="1" customWidth="1"/>
    <col min="77" max="77" width="11.85546875" style="21" bestFit="1" customWidth="1"/>
    <col min="78" max="79" width="9.5703125" style="21" bestFit="1" customWidth="1"/>
    <col min="80" max="16384" width="8.85546875" style="21"/>
  </cols>
  <sheetData>
    <row r="1" spans="1:50" ht="15.75" thickBot="1">
      <c r="A1" s="1299"/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B1" s="21"/>
      <c r="AE1" s="21"/>
      <c r="AU1" s="21"/>
    </row>
    <row r="2" spans="1:50" ht="15.75" thickBot="1">
      <c r="A2" s="1283"/>
      <c r="B2" s="375" t="s">
        <v>250</v>
      </c>
      <c r="C2" s="377" t="str">
        <f>'Development Program'!D28</f>
        <v>01/1/28 to 12/31/28</v>
      </c>
      <c r="D2" s="377" t="str">
        <f>'Development Program'!E28</f>
        <v>None</v>
      </c>
      <c r="E2" s="377" t="str">
        <f>'Development Program'!F28</f>
        <v>1/1/29 to 12/31/30</v>
      </c>
      <c r="F2" s="377" t="str">
        <f>'Development Program'!G28</f>
        <v>1/1/31 to 6/30/31</v>
      </c>
      <c r="G2" s="21"/>
      <c r="P2" s="251" t="s">
        <v>312</v>
      </c>
      <c r="Q2" s="252" t="s">
        <v>301</v>
      </c>
      <c r="X2" s="251" t="s">
        <v>302</v>
      </c>
      <c r="Y2" s="251" t="s">
        <v>303</v>
      </c>
      <c r="AB2" s="251" t="s">
        <v>304</v>
      </c>
      <c r="AE2" s="21"/>
      <c r="AU2" s="21"/>
      <c r="AV2" s="1376" t="s">
        <v>256</v>
      </c>
      <c r="AW2" s="1376"/>
      <c r="AX2" s="1376"/>
    </row>
    <row r="3" spans="1:50" ht="15.75" thickBot="1">
      <c r="A3" s="1284"/>
      <c r="B3" s="142" t="s">
        <v>122</v>
      </c>
      <c r="C3" s="203">
        <v>45658</v>
      </c>
      <c r="D3" s="204">
        <f>EOMONTH(C3,3)</f>
        <v>45777</v>
      </c>
      <c r="E3" s="204">
        <f t="shared" ref="E3:AU3" si="0">EOMONTH(D3,3)</f>
        <v>45869</v>
      </c>
      <c r="F3" s="204">
        <f t="shared" si="0"/>
        <v>45961</v>
      </c>
      <c r="G3" s="246">
        <f t="shared" si="0"/>
        <v>46053</v>
      </c>
      <c r="H3" s="246">
        <f t="shared" si="0"/>
        <v>46142</v>
      </c>
      <c r="I3" s="246">
        <f t="shared" si="0"/>
        <v>46234</v>
      </c>
      <c r="J3" s="246">
        <f t="shared" si="0"/>
        <v>46326</v>
      </c>
      <c r="K3" s="246">
        <f t="shared" si="0"/>
        <v>46418</v>
      </c>
      <c r="L3" s="246">
        <f t="shared" si="0"/>
        <v>46507</v>
      </c>
      <c r="M3" s="246">
        <f t="shared" si="0"/>
        <v>46599</v>
      </c>
      <c r="N3" s="246">
        <f t="shared" si="0"/>
        <v>46691</v>
      </c>
      <c r="O3" s="246">
        <f t="shared" si="0"/>
        <v>46783</v>
      </c>
      <c r="P3" s="246">
        <f t="shared" si="0"/>
        <v>46873</v>
      </c>
      <c r="Q3" s="246">
        <f t="shared" si="0"/>
        <v>46965</v>
      </c>
      <c r="R3" s="246">
        <f t="shared" si="0"/>
        <v>47057</v>
      </c>
      <c r="S3" s="246">
        <f t="shared" si="0"/>
        <v>47149</v>
      </c>
      <c r="T3" s="246">
        <f t="shared" si="0"/>
        <v>47238</v>
      </c>
      <c r="U3" s="246">
        <f t="shared" si="0"/>
        <v>47330</v>
      </c>
      <c r="V3" s="246">
        <f t="shared" si="0"/>
        <v>47422</v>
      </c>
      <c r="W3" s="246">
        <f t="shared" si="0"/>
        <v>47514</v>
      </c>
      <c r="X3" s="246">
        <f t="shared" si="0"/>
        <v>47603</v>
      </c>
      <c r="Y3" s="246">
        <f t="shared" si="0"/>
        <v>47695</v>
      </c>
      <c r="Z3" s="246">
        <f t="shared" si="0"/>
        <v>47787</v>
      </c>
      <c r="AA3" s="246">
        <f t="shared" si="0"/>
        <v>47879</v>
      </c>
      <c r="AB3" s="246">
        <f t="shared" si="0"/>
        <v>47968</v>
      </c>
      <c r="AC3" s="246">
        <f t="shared" si="0"/>
        <v>48060</v>
      </c>
      <c r="AD3" s="246">
        <f t="shared" si="0"/>
        <v>48152</v>
      </c>
      <c r="AE3" s="246">
        <f t="shared" si="0"/>
        <v>48244</v>
      </c>
      <c r="AF3" s="246">
        <f t="shared" si="0"/>
        <v>48334</v>
      </c>
      <c r="AG3" s="246">
        <f t="shared" si="0"/>
        <v>48426</v>
      </c>
      <c r="AH3" s="246">
        <f t="shared" si="0"/>
        <v>48518</v>
      </c>
      <c r="AI3" s="246">
        <f t="shared" si="0"/>
        <v>48610</v>
      </c>
      <c r="AJ3" s="246">
        <f t="shared" si="0"/>
        <v>48699</v>
      </c>
      <c r="AK3" s="246">
        <f t="shared" si="0"/>
        <v>48791</v>
      </c>
      <c r="AL3" s="246">
        <f t="shared" si="0"/>
        <v>48883</v>
      </c>
      <c r="AM3" s="246">
        <f t="shared" si="0"/>
        <v>48975</v>
      </c>
      <c r="AN3" s="246">
        <f t="shared" si="0"/>
        <v>49064</v>
      </c>
      <c r="AO3" s="246">
        <f t="shared" si="0"/>
        <v>49156</v>
      </c>
      <c r="AP3" s="246">
        <f t="shared" si="0"/>
        <v>49248</v>
      </c>
      <c r="AQ3" s="246">
        <f t="shared" si="0"/>
        <v>49340</v>
      </c>
      <c r="AR3" s="246">
        <f t="shared" si="0"/>
        <v>49429</v>
      </c>
      <c r="AS3" s="246">
        <f t="shared" si="0"/>
        <v>49521</v>
      </c>
      <c r="AT3" s="246">
        <f t="shared" si="0"/>
        <v>49613</v>
      </c>
      <c r="AU3" s="246">
        <f t="shared" si="0"/>
        <v>49705</v>
      </c>
      <c r="AV3" s="378" t="s">
        <v>257</v>
      </c>
      <c r="AW3" s="379" t="s">
        <v>258</v>
      </c>
      <c r="AX3" s="378"/>
    </row>
    <row r="4" spans="1:50" ht="15.75" thickBot="1">
      <c r="A4" s="380" t="s">
        <v>259</v>
      </c>
      <c r="B4" s="381">
        <v>1</v>
      </c>
      <c r="C4" s="239">
        <v>0</v>
      </c>
      <c r="D4" s="239">
        <v>0</v>
      </c>
      <c r="E4" s="239">
        <v>0</v>
      </c>
      <c r="F4" s="239">
        <f t="shared" ref="F4:G4" si="1">E4</f>
        <v>0</v>
      </c>
      <c r="G4" s="238">
        <f t="shared" si="1"/>
        <v>0</v>
      </c>
      <c r="H4" s="238"/>
      <c r="I4" s="238"/>
      <c r="J4" s="238"/>
      <c r="K4" s="238"/>
      <c r="L4" s="238"/>
      <c r="M4" s="238"/>
      <c r="N4" s="238"/>
      <c r="O4" s="238"/>
      <c r="P4" s="238"/>
      <c r="Q4" s="238">
        <v>0.1</v>
      </c>
      <c r="R4" s="238">
        <v>0.1</v>
      </c>
      <c r="S4" s="238">
        <v>0.1</v>
      </c>
      <c r="T4" s="238">
        <v>0.15</v>
      </c>
      <c r="U4" s="238">
        <v>0.15</v>
      </c>
      <c r="V4" s="238">
        <v>0.15</v>
      </c>
      <c r="W4" s="238">
        <v>0.15</v>
      </c>
      <c r="X4" s="238">
        <v>0.1</v>
      </c>
      <c r="Y4" s="238">
        <v>0</v>
      </c>
      <c r="Z4" s="238">
        <v>0</v>
      </c>
      <c r="AA4" s="238">
        <v>0</v>
      </c>
      <c r="AB4" s="238"/>
      <c r="AC4" s="238"/>
      <c r="AD4" s="238"/>
      <c r="AE4" s="238"/>
      <c r="AF4" s="238"/>
      <c r="AG4" s="238">
        <v>0</v>
      </c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382">
        <f t="shared" ref="AV4:AV25" si="2">SUM(C4:AU4)</f>
        <v>1.0000000000000002</v>
      </c>
      <c r="AW4" s="383"/>
      <c r="AX4" s="216" t="s">
        <v>260</v>
      </c>
    </row>
    <row r="5" spans="1:50">
      <c r="A5" s="384" t="str">
        <f>'G Financial'!A44</f>
        <v>Hard Costs for Construction</v>
      </c>
      <c r="B5" s="490">
        <f>'G Financial'!C44</f>
        <v>1272106</v>
      </c>
      <c r="C5" s="386">
        <f t="shared" ref="C5:AB5" si="3">$B$5*C4</f>
        <v>0</v>
      </c>
      <c r="D5" s="386">
        <f t="shared" si="3"/>
        <v>0</v>
      </c>
      <c r="E5" s="386">
        <f t="shared" si="3"/>
        <v>0</v>
      </c>
      <c r="F5" s="386">
        <f t="shared" si="3"/>
        <v>0</v>
      </c>
      <c r="G5" s="386">
        <f t="shared" si="3"/>
        <v>0</v>
      </c>
      <c r="H5" s="386">
        <f t="shared" si="3"/>
        <v>0</v>
      </c>
      <c r="I5" s="386">
        <f t="shared" si="3"/>
        <v>0</v>
      </c>
      <c r="J5" s="386">
        <f t="shared" si="3"/>
        <v>0</v>
      </c>
      <c r="K5" s="386">
        <f t="shared" si="3"/>
        <v>0</v>
      </c>
      <c r="L5" s="386">
        <f t="shared" si="3"/>
        <v>0</v>
      </c>
      <c r="M5" s="386">
        <f t="shared" si="3"/>
        <v>0</v>
      </c>
      <c r="N5" s="386">
        <f t="shared" si="3"/>
        <v>0</v>
      </c>
      <c r="O5" s="386">
        <f t="shared" si="3"/>
        <v>0</v>
      </c>
      <c r="P5" s="386">
        <f t="shared" si="3"/>
        <v>0</v>
      </c>
      <c r="Q5" s="386">
        <f t="shared" si="3"/>
        <v>127210.6</v>
      </c>
      <c r="R5" s="386">
        <f t="shared" si="3"/>
        <v>127210.6</v>
      </c>
      <c r="S5" s="386">
        <f t="shared" si="3"/>
        <v>127210.6</v>
      </c>
      <c r="T5" s="386">
        <f t="shared" si="3"/>
        <v>190815.9</v>
      </c>
      <c r="U5" s="386">
        <f t="shared" si="3"/>
        <v>190815.9</v>
      </c>
      <c r="V5" s="386">
        <f t="shared" si="3"/>
        <v>190815.9</v>
      </c>
      <c r="W5" s="386">
        <f t="shared" si="3"/>
        <v>190815.9</v>
      </c>
      <c r="X5" s="386">
        <f t="shared" si="3"/>
        <v>127210.6</v>
      </c>
      <c r="Y5" s="386">
        <f t="shared" si="3"/>
        <v>0</v>
      </c>
      <c r="Z5" s="386">
        <f t="shared" si="3"/>
        <v>0</v>
      </c>
      <c r="AA5" s="386">
        <f t="shared" si="3"/>
        <v>0</v>
      </c>
      <c r="AB5" s="386">
        <f t="shared" si="3"/>
        <v>0</v>
      </c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87">
        <f t="shared" si="2"/>
        <v>1272106.0000000002</v>
      </c>
      <c r="AW5" s="387">
        <f t="shared" ref="AW5:AW25" si="4">B5</f>
        <v>1272106</v>
      </c>
      <c r="AX5" s="524">
        <f>AW5-AV5</f>
        <v>0</v>
      </c>
    </row>
    <row r="6" spans="1:50">
      <c r="A6" s="384" t="str">
        <f>'G Financial'!A45</f>
        <v>Parking stalls</v>
      </c>
      <c r="B6" s="490">
        <f>'G Financial'!C45</f>
        <v>400000</v>
      </c>
      <c r="C6" s="386">
        <f>$B$6*C4</f>
        <v>0</v>
      </c>
      <c r="D6" s="386">
        <f t="shared" ref="D6:AB6" si="5">$B$6*D4</f>
        <v>0</v>
      </c>
      <c r="E6" s="386">
        <f t="shared" si="5"/>
        <v>0</v>
      </c>
      <c r="F6" s="386">
        <f t="shared" si="5"/>
        <v>0</v>
      </c>
      <c r="G6" s="386">
        <f t="shared" si="5"/>
        <v>0</v>
      </c>
      <c r="H6" s="386">
        <f t="shared" si="5"/>
        <v>0</v>
      </c>
      <c r="I6" s="386">
        <f t="shared" si="5"/>
        <v>0</v>
      </c>
      <c r="J6" s="386">
        <f t="shared" si="5"/>
        <v>0</v>
      </c>
      <c r="K6" s="386">
        <f t="shared" si="5"/>
        <v>0</v>
      </c>
      <c r="L6" s="386">
        <f t="shared" si="5"/>
        <v>0</v>
      </c>
      <c r="M6" s="386">
        <f t="shared" si="5"/>
        <v>0</v>
      </c>
      <c r="N6" s="386">
        <f t="shared" si="5"/>
        <v>0</v>
      </c>
      <c r="O6" s="386">
        <f t="shared" si="5"/>
        <v>0</v>
      </c>
      <c r="P6" s="386">
        <f t="shared" si="5"/>
        <v>0</v>
      </c>
      <c r="Q6" s="386">
        <f t="shared" si="5"/>
        <v>40000</v>
      </c>
      <c r="R6" s="386">
        <f t="shared" si="5"/>
        <v>40000</v>
      </c>
      <c r="S6" s="386">
        <f t="shared" si="5"/>
        <v>40000</v>
      </c>
      <c r="T6" s="386">
        <f t="shared" si="5"/>
        <v>60000</v>
      </c>
      <c r="U6" s="386">
        <f t="shared" si="5"/>
        <v>60000</v>
      </c>
      <c r="V6" s="386">
        <f t="shared" si="5"/>
        <v>60000</v>
      </c>
      <c r="W6" s="386">
        <f t="shared" si="5"/>
        <v>60000</v>
      </c>
      <c r="X6" s="386">
        <f t="shared" si="5"/>
        <v>40000</v>
      </c>
      <c r="Y6" s="386">
        <f t="shared" si="5"/>
        <v>0</v>
      </c>
      <c r="Z6" s="386">
        <f t="shared" si="5"/>
        <v>0</v>
      </c>
      <c r="AA6" s="386">
        <f t="shared" si="5"/>
        <v>0</v>
      </c>
      <c r="AB6" s="386">
        <f t="shared" si="5"/>
        <v>0</v>
      </c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87">
        <f t="shared" si="2"/>
        <v>400000</v>
      </c>
      <c r="AW6" s="387">
        <f t="shared" si="4"/>
        <v>400000</v>
      </c>
      <c r="AX6" s="524">
        <f t="shared" ref="AX6:AX25" si="6">AW6-AV6</f>
        <v>0</v>
      </c>
    </row>
    <row r="7" spans="1:50">
      <c r="A7" s="384" t="str">
        <f>'G Financial'!A46</f>
        <v>Hard Cost Contingency</v>
      </c>
      <c r="B7" s="490">
        <f>'G Financial'!C46</f>
        <v>127210.6</v>
      </c>
      <c r="C7" s="386">
        <f t="shared" ref="C7:Q7" si="7">$B7*C$4</f>
        <v>0</v>
      </c>
      <c r="D7" s="386">
        <f t="shared" si="7"/>
        <v>0</v>
      </c>
      <c r="E7" s="386">
        <f t="shared" si="7"/>
        <v>0</v>
      </c>
      <c r="F7" s="386">
        <f t="shared" si="7"/>
        <v>0</v>
      </c>
      <c r="G7" s="386">
        <f t="shared" si="7"/>
        <v>0</v>
      </c>
      <c r="H7" s="386">
        <f t="shared" si="7"/>
        <v>0</v>
      </c>
      <c r="I7" s="386">
        <f t="shared" si="7"/>
        <v>0</v>
      </c>
      <c r="J7" s="386">
        <f t="shared" si="7"/>
        <v>0</v>
      </c>
      <c r="K7" s="386">
        <f t="shared" si="7"/>
        <v>0</v>
      </c>
      <c r="L7" s="386">
        <f t="shared" si="7"/>
        <v>0</v>
      </c>
      <c r="M7" s="386">
        <f t="shared" si="7"/>
        <v>0</v>
      </c>
      <c r="N7" s="386">
        <f t="shared" si="7"/>
        <v>0</v>
      </c>
      <c r="O7" s="386">
        <f t="shared" si="7"/>
        <v>0</v>
      </c>
      <c r="P7" s="386">
        <f t="shared" si="7"/>
        <v>0</v>
      </c>
      <c r="Q7" s="386">
        <f t="shared" si="7"/>
        <v>12721.060000000001</v>
      </c>
      <c r="R7" s="386">
        <f>$B7*R$4</f>
        <v>12721.060000000001</v>
      </c>
      <c r="S7" s="386">
        <f t="shared" ref="S7:AB7" si="8">$B7*S$4</f>
        <v>12721.060000000001</v>
      </c>
      <c r="T7" s="386">
        <f t="shared" si="8"/>
        <v>19081.59</v>
      </c>
      <c r="U7" s="386">
        <f t="shared" si="8"/>
        <v>19081.59</v>
      </c>
      <c r="V7" s="386">
        <f t="shared" si="8"/>
        <v>19081.59</v>
      </c>
      <c r="W7" s="386">
        <f t="shared" si="8"/>
        <v>19081.59</v>
      </c>
      <c r="X7" s="386">
        <f t="shared" si="8"/>
        <v>12721.060000000001</v>
      </c>
      <c r="Y7" s="386">
        <f t="shared" si="8"/>
        <v>0</v>
      </c>
      <c r="Z7" s="386">
        <f t="shared" si="8"/>
        <v>0</v>
      </c>
      <c r="AA7" s="386">
        <f t="shared" si="8"/>
        <v>0</v>
      </c>
      <c r="AB7" s="386">
        <f t="shared" si="8"/>
        <v>0</v>
      </c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87">
        <f t="shared" si="2"/>
        <v>127210.59999999999</v>
      </c>
      <c r="AW7" s="387">
        <f t="shared" si="4"/>
        <v>127210.6</v>
      </c>
      <c r="AX7" s="524">
        <f t="shared" si="6"/>
        <v>0</v>
      </c>
    </row>
    <row r="8" spans="1:50">
      <c r="A8" s="384" t="str">
        <f>'G Financial'!A47</f>
        <v>Demolition</v>
      </c>
      <c r="B8" s="490">
        <f>'G Financial'!C47</f>
        <v>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  <c r="AS8" s="386"/>
      <c r="AT8" s="386"/>
      <c r="AU8" s="386"/>
      <c r="AV8" s="387">
        <f t="shared" si="2"/>
        <v>0</v>
      </c>
      <c r="AW8" s="387">
        <f t="shared" si="4"/>
        <v>0</v>
      </c>
      <c r="AX8" s="524">
        <f t="shared" si="6"/>
        <v>0</v>
      </c>
    </row>
    <row r="9" spans="1:50">
      <c r="A9" s="384" t="str">
        <f>'G Financial'!A48</f>
        <v>LAND</v>
      </c>
      <c r="B9" s="490">
        <f>'G Financial'!C48</f>
        <v>700000</v>
      </c>
      <c r="C9" s="390"/>
      <c r="D9" s="386"/>
      <c r="E9" s="386">
        <v>70000</v>
      </c>
      <c r="F9" s="386"/>
      <c r="G9" s="389"/>
      <c r="H9" s="389"/>
      <c r="I9" s="389"/>
      <c r="J9" s="390"/>
      <c r="K9" s="386"/>
      <c r="L9" s="386"/>
      <c r="M9" s="390"/>
      <c r="N9" s="386"/>
      <c r="O9" s="386"/>
      <c r="P9" s="386"/>
      <c r="Q9" s="390">
        <f>$B9-$E9</f>
        <v>630000</v>
      </c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8"/>
      <c r="AD9" s="388"/>
      <c r="AE9" s="454"/>
      <c r="AF9" s="454"/>
      <c r="AG9" s="454"/>
      <c r="AH9" s="454"/>
      <c r="AI9" s="454"/>
      <c r="AJ9" s="454"/>
      <c r="AK9" s="454"/>
      <c r="AL9" s="454"/>
      <c r="AM9" s="454"/>
      <c r="AN9" s="454"/>
      <c r="AO9" s="454"/>
      <c r="AP9" s="454"/>
      <c r="AQ9" s="454"/>
      <c r="AR9" s="454"/>
      <c r="AS9" s="454"/>
      <c r="AT9" s="454"/>
      <c r="AU9" s="454"/>
      <c r="AV9" s="387">
        <f t="shared" si="2"/>
        <v>700000</v>
      </c>
      <c r="AW9" s="387">
        <f t="shared" si="4"/>
        <v>700000</v>
      </c>
      <c r="AX9" s="524">
        <f t="shared" si="6"/>
        <v>0</v>
      </c>
    </row>
    <row r="10" spans="1:50">
      <c r="A10" s="384" t="str">
        <f>'G Financial'!A49</f>
        <v>Municipal Fees and Allowances</v>
      </c>
      <c r="B10" s="490">
        <f>'G Financial'!C49</f>
        <v>240000</v>
      </c>
      <c r="C10" s="390"/>
      <c r="D10" s="386"/>
      <c r="E10" s="386"/>
      <c r="F10" s="386"/>
      <c r="G10" s="386"/>
      <c r="H10" s="389"/>
      <c r="I10" s="386"/>
      <c r="J10" s="386"/>
      <c r="K10" s="386"/>
      <c r="L10" s="386"/>
      <c r="M10" s="386"/>
      <c r="N10" s="386"/>
      <c r="O10" s="386"/>
      <c r="P10" s="386"/>
      <c r="Q10" s="386">
        <f>B10</f>
        <v>240000</v>
      </c>
      <c r="R10" s="388"/>
      <c r="S10" s="241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454"/>
      <c r="AF10" s="454"/>
      <c r="AG10" s="454"/>
      <c r="AH10" s="454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387">
        <f t="shared" si="2"/>
        <v>240000</v>
      </c>
      <c r="AW10" s="387">
        <f t="shared" si="4"/>
        <v>240000</v>
      </c>
      <c r="AX10" s="524">
        <f t="shared" si="6"/>
        <v>0</v>
      </c>
    </row>
    <row r="11" spans="1:50">
      <c r="A11" s="384" t="str">
        <f>'G Financial'!A50</f>
        <v>Infrastructure allocation</v>
      </c>
      <c r="B11" s="490">
        <f>'G Financial'!C50</f>
        <v>3000000</v>
      </c>
      <c r="C11" s="390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8"/>
      <c r="S11" s="241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387">
        <f t="shared" si="2"/>
        <v>0</v>
      </c>
      <c r="AW11" s="387">
        <f t="shared" si="4"/>
        <v>3000000</v>
      </c>
      <c r="AX11" s="524">
        <f t="shared" si="6"/>
        <v>3000000</v>
      </c>
    </row>
    <row r="12" spans="1:50">
      <c r="A12" s="384" t="str">
        <f>'G Financial'!A51</f>
        <v>Legal</v>
      </c>
      <c r="B12" s="490">
        <f>'G Financial'!C51</f>
        <v>400000</v>
      </c>
      <c r="C12" s="390"/>
      <c r="D12" s="390"/>
      <c r="E12" s="390">
        <f t="shared" ref="E12:G12" si="9">0.05*$B12</f>
        <v>20000</v>
      </c>
      <c r="F12" s="390">
        <f t="shared" si="9"/>
        <v>20000</v>
      </c>
      <c r="G12" s="390">
        <f t="shared" si="9"/>
        <v>20000</v>
      </c>
      <c r="H12" s="390">
        <f>0.05*$B12</f>
        <v>20000</v>
      </c>
      <c r="I12" s="390">
        <f>0.05*$B12</f>
        <v>20000</v>
      </c>
      <c r="J12" s="390">
        <f>0.05*$B12</f>
        <v>20000</v>
      </c>
      <c r="K12" s="390">
        <f t="shared" ref="K12:P12" si="10">0.1*$B12</f>
        <v>40000</v>
      </c>
      <c r="L12" s="390">
        <f t="shared" si="10"/>
        <v>40000</v>
      </c>
      <c r="M12" s="390">
        <f t="shared" si="10"/>
        <v>40000</v>
      </c>
      <c r="N12" s="390">
        <f t="shared" si="10"/>
        <v>40000</v>
      </c>
      <c r="O12" s="390">
        <f t="shared" si="10"/>
        <v>40000</v>
      </c>
      <c r="P12" s="390">
        <f t="shared" si="10"/>
        <v>40000</v>
      </c>
      <c r="Q12" s="386">
        <v>40000</v>
      </c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387">
        <f t="shared" si="2"/>
        <v>400000</v>
      </c>
      <c r="AW12" s="387">
        <f t="shared" si="4"/>
        <v>400000</v>
      </c>
      <c r="AX12" s="524">
        <f t="shared" si="6"/>
        <v>0</v>
      </c>
    </row>
    <row r="13" spans="1:50">
      <c r="A13" s="384" t="str">
        <f>'G Financial'!A52</f>
        <v>Land Closing Costs/commissions</v>
      </c>
      <c r="B13" s="490">
        <f>'G Financial'!C52</f>
        <v>40000</v>
      </c>
      <c r="C13" s="390"/>
      <c r="D13" s="386"/>
      <c r="E13" s="386"/>
      <c r="F13" s="386"/>
      <c r="G13" s="240"/>
      <c r="H13" s="386"/>
      <c r="I13" s="240"/>
      <c r="J13" s="386"/>
      <c r="K13" s="386"/>
      <c r="L13" s="386"/>
      <c r="M13" s="240"/>
      <c r="N13" s="386"/>
      <c r="O13" s="386"/>
      <c r="P13" s="386"/>
      <c r="Q13" s="386">
        <f>$B13</f>
        <v>40000</v>
      </c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C13" s="386"/>
      <c r="AD13" s="386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7">
        <f t="shared" si="2"/>
        <v>40000</v>
      </c>
      <c r="AW13" s="387">
        <f t="shared" si="4"/>
        <v>40000</v>
      </c>
      <c r="AX13" s="524">
        <f t="shared" si="6"/>
        <v>0</v>
      </c>
    </row>
    <row r="14" spans="1:50">
      <c r="A14" s="384" t="str">
        <f>'G Financial'!A53</f>
        <v xml:space="preserve">Design </v>
      </c>
      <c r="B14" s="490">
        <f>'G Financial'!C53</f>
        <v>55972.664000000004</v>
      </c>
      <c r="C14" s="386"/>
      <c r="D14" s="386"/>
      <c r="E14" s="386">
        <f t="shared" ref="E14:N14" si="11">$B14/10</f>
        <v>5597.2664000000004</v>
      </c>
      <c r="F14" s="386">
        <f t="shared" si="11"/>
        <v>5597.2664000000004</v>
      </c>
      <c r="G14" s="386">
        <f t="shared" si="11"/>
        <v>5597.2664000000004</v>
      </c>
      <c r="H14" s="386">
        <f t="shared" si="11"/>
        <v>5597.2664000000004</v>
      </c>
      <c r="I14" s="386">
        <f t="shared" si="11"/>
        <v>5597.2664000000004</v>
      </c>
      <c r="J14" s="386">
        <f t="shared" si="11"/>
        <v>5597.2664000000004</v>
      </c>
      <c r="K14" s="386">
        <f t="shared" si="11"/>
        <v>5597.2664000000004</v>
      </c>
      <c r="L14" s="386">
        <f t="shared" si="11"/>
        <v>5597.2664000000004</v>
      </c>
      <c r="M14" s="386">
        <f t="shared" si="11"/>
        <v>5597.2664000000004</v>
      </c>
      <c r="N14" s="386">
        <f t="shared" si="11"/>
        <v>5597.2664000000004</v>
      </c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  <c r="AP14" s="386"/>
      <c r="AQ14" s="386"/>
      <c r="AR14" s="386"/>
      <c r="AS14" s="386"/>
      <c r="AT14" s="386"/>
      <c r="AU14" s="386"/>
      <c r="AV14" s="387">
        <f t="shared" si="2"/>
        <v>55972.664000000004</v>
      </c>
      <c r="AW14" s="387">
        <f t="shared" si="4"/>
        <v>55972.664000000004</v>
      </c>
      <c r="AX14" s="524">
        <f t="shared" si="6"/>
        <v>0</v>
      </c>
    </row>
    <row r="15" spans="1:50">
      <c r="A15" s="384" t="str">
        <f>'G Financial'!A54</f>
        <v>Developer Fee</v>
      </c>
      <c r="B15" s="490">
        <f>'G Financial'!C54</f>
        <v>187058.67791999999</v>
      </c>
      <c r="C15" s="386">
        <f>$B15*C$4</f>
        <v>0</v>
      </c>
      <c r="D15" s="386">
        <f t="shared" ref="D15:G15" si="12">$B15*D4</f>
        <v>0</v>
      </c>
      <c r="E15" s="386">
        <f t="shared" si="12"/>
        <v>0</v>
      </c>
      <c r="F15" s="386">
        <f t="shared" si="12"/>
        <v>0</v>
      </c>
      <c r="G15" s="386">
        <f t="shared" si="12"/>
        <v>0</v>
      </c>
      <c r="H15" s="386"/>
      <c r="I15" s="386"/>
      <c r="J15" s="386"/>
      <c r="K15" s="386"/>
      <c r="L15" s="386"/>
      <c r="M15" s="386"/>
      <c r="N15" s="386"/>
      <c r="O15" s="386"/>
      <c r="P15" s="386"/>
      <c r="Q15" s="386">
        <f t="shared" ref="Q15:W16" si="13">Q$4*$B15</f>
        <v>18705.867792000001</v>
      </c>
      <c r="R15" s="386">
        <f t="shared" si="13"/>
        <v>18705.867792000001</v>
      </c>
      <c r="S15" s="386">
        <f t="shared" si="13"/>
        <v>18705.867792000001</v>
      </c>
      <c r="T15" s="386">
        <f t="shared" si="13"/>
        <v>28058.801687999996</v>
      </c>
      <c r="U15" s="386">
        <f t="shared" si="13"/>
        <v>28058.801687999996</v>
      </c>
      <c r="V15" s="386">
        <f t="shared" si="13"/>
        <v>28058.801687999996</v>
      </c>
      <c r="W15" s="386">
        <f t="shared" si="13"/>
        <v>28058.801687999996</v>
      </c>
      <c r="X15" s="386">
        <f>X$4*$B15</f>
        <v>18705.867792000001</v>
      </c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6"/>
      <c r="AR15" s="386"/>
      <c r="AS15" s="386"/>
      <c r="AT15" s="386"/>
      <c r="AU15" s="386"/>
      <c r="AV15" s="387">
        <f t="shared" si="2"/>
        <v>187058.67791999999</v>
      </c>
      <c r="AW15" s="387">
        <f t="shared" si="4"/>
        <v>187058.67791999999</v>
      </c>
      <c r="AX15" s="524">
        <f t="shared" si="6"/>
        <v>0</v>
      </c>
    </row>
    <row r="16" spans="1:50">
      <c r="A16" s="384" t="str">
        <f>'G Financial'!A55</f>
        <v>Construction Management Fee</v>
      </c>
      <c r="B16" s="490">
        <f>'G Financial'!C55</f>
        <v>27986.332000000002</v>
      </c>
      <c r="C16" s="386">
        <f>$B16*C$4</f>
        <v>0</v>
      </c>
      <c r="D16" s="386">
        <f t="shared" ref="D16:G16" si="14">$B16*D$4</f>
        <v>0</v>
      </c>
      <c r="E16" s="386">
        <f t="shared" si="14"/>
        <v>0</v>
      </c>
      <c r="F16" s="386">
        <f t="shared" si="14"/>
        <v>0</v>
      </c>
      <c r="G16" s="386">
        <f t="shared" si="14"/>
        <v>0</v>
      </c>
      <c r="H16" s="386"/>
      <c r="I16" s="386"/>
      <c r="J16" s="386"/>
      <c r="K16" s="386"/>
      <c r="L16" s="386"/>
      <c r="M16" s="386"/>
      <c r="N16" s="386"/>
      <c r="O16" s="386"/>
      <c r="P16" s="386"/>
      <c r="Q16" s="386">
        <f t="shared" si="13"/>
        <v>2798.6332000000002</v>
      </c>
      <c r="R16" s="386">
        <f t="shared" si="13"/>
        <v>2798.6332000000002</v>
      </c>
      <c r="S16" s="386">
        <f t="shared" si="13"/>
        <v>2798.6332000000002</v>
      </c>
      <c r="T16" s="386">
        <f t="shared" si="13"/>
        <v>4197.9498000000003</v>
      </c>
      <c r="U16" s="386">
        <f t="shared" si="13"/>
        <v>4197.9498000000003</v>
      </c>
      <c r="V16" s="386">
        <f t="shared" si="13"/>
        <v>4197.9498000000003</v>
      </c>
      <c r="W16" s="386">
        <f t="shared" si="13"/>
        <v>4197.9498000000003</v>
      </c>
      <c r="X16" s="386">
        <f>X$4*$B16</f>
        <v>2798.6332000000002</v>
      </c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386"/>
      <c r="AM16" s="386"/>
      <c r="AN16" s="386"/>
      <c r="AO16" s="386"/>
      <c r="AP16" s="386"/>
      <c r="AQ16" s="386"/>
      <c r="AR16" s="386"/>
      <c r="AS16" s="386"/>
      <c r="AT16" s="386"/>
      <c r="AU16" s="386"/>
      <c r="AV16" s="387">
        <f t="shared" si="2"/>
        <v>27986.332000000006</v>
      </c>
      <c r="AW16" s="387">
        <f t="shared" si="4"/>
        <v>27986.332000000002</v>
      </c>
      <c r="AX16" s="524">
        <f t="shared" si="6"/>
        <v>0</v>
      </c>
    </row>
    <row r="17" spans="1:50">
      <c r="A17" s="384" t="str">
        <f>'G Financial'!A56</f>
        <v>Taxes</v>
      </c>
      <c r="B17" s="490">
        <f>'G Financial'!C56</f>
        <v>300000</v>
      </c>
      <c r="C17" s="390"/>
      <c r="D17" s="386"/>
      <c r="E17" s="386"/>
      <c r="F17" s="386">
        <f>0.15*$B17</f>
        <v>45000</v>
      </c>
      <c r="G17" s="389"/>
      <c r="H17" s="386"/>
      <c r="I17" s="386"/>
      <c r="J17" s="386">
        <f>0.1*$B17</f>
        <v>30000</v>
      </c>
      <c r="K17" s="386"/>
      <c r="L17" s="240"/>
      <c r="M17" s="386"/>
      <c r="N17" s="386">
        <f>0.1*$B17</f>
        <v>30000</v>
      </c>
      <c r="O17" s="386"/>
      <c r="P17" s="386"/>
      <c r="Q17" s="240"/>
      <c r="R17" s="386">
        <f>0.15*$B17</f>
        <v>45000</v>
      </c>
      <c r="S17" s="240"/>
      <c r="T17" s="386"/>
      <c r="U17" s="386"/>
      <c r="V17" s="386">
        <f>0.2*$B17</f>
        <v>60000</v>
      </c>
      <c r="W17" s="386"/>
      <c r="X17" s="240"/>
      <c r="Y17" s="386"/>
      <c r="Z17" s="386">
        <f>0.3*$B17</f>
        <v>90000</v>
      </c>
      <c r="AA17" s="386"/>
      <c r="AB17" s="386"/>
      <c r="AC17" s="386"/>
      <c r="AD17" s="386"/>
      <c r="AE17" s="240"/>
      <c r="AF17" s="386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40"/>
      <c r="AT17" s="386"/>
      <c r="AU17" s="389"/>
      <c r="AV17" s="387">
        <f t="shared" si="2"/>
        <v>300000</v>
      </c>
      <c r="AW17" s="387">
        <f t="shared" si="4"/>
        <v>300000</v>
      </c>
      <c r="AX17" s="524">
        <f t="shared" si="6"/>
        <v>0</v>
      </c>
    </row>
    <row r="18" spans="1:50">
      <c r="A18" s="384" t="str">
        <f>'G Financial'!A57</f>
        <v>Insurance</v>
      </c>
      <c r="B18" s="490">
        <f>'G Financial'!C57</f>
        <v>60000</v>
      </c>
      <c r="C18" s="390"/>
      <c r="D18" s="386"/>
      <c r="E18" s="386">
        <f>0.3*$B18</f>
        <v>18000</v>
      </c>
      <c r="F18" s="386">
        <f>0.3*$B18</f>
        <v>18000</v>
      </c>
      <c r="G18" s="386"/>
      <c r="H18" s="386"/>
      <c r="I18" s="386"/>
      <c r="J18" s="386"/>
      <c r="K18" s="386"/>
      <c r="L18" s="390">
        <f>$B18-SUM(C18:K18)</f>
        <v>24000</v>
      </c>
      <c r="M18" s="386"/>
      <c r="N18" s="386"/>
      <c r="O18" s="386"/>
      <c r="P18" s="386"/>
      <c r="Q18" s="386"/>
      <c r="R18" s="386"/>
      <c r="S18" s="386"/>
      <c r="T18" s="240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  <c r="AQ18" s="395"/>
      <c r="AR18" s="395"/>
      <c r="AS18" s="386"/>
      <c r="AT18" s="386"/>
      <c r="AU18" s="386"/>
      <c r="AV18" s="387">
        <f t="shared" si="2"/>
        <v>60000</v>
      </c>
      <c r="AW18" s="387">
        <f t="shared" si="4"/>
        <v>60000</v>
      </c>
      <c r="AX18" s="524">
        <f t="shared" si="6"/>
        <v>0</v>
      </c>
    </row>
    <row r="19" spans="1:50">
      <c r="A19" s="384" t="str">
        <f>'G Financial'!A58</f>
        <v>Marketing, FFE and Preleasing</v>
      </c>
      <c r="B19" s="490">
        <f>'G Financial'!C58</f>
        <v>800000</v>
      </c>
      <c r="C19" s="390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>
        <f>$B19/3</f>
        <v>266666.66666666669</v>
      </c>
      <c r="W19" s="386">
        <f>$B19/3</f>
        <v>266666.66666666669</v>
      </c>
      <c r="X19" s="386">
        <f>$B19/3</f>
        <v>266666.66666666669</v>
      </c>
      <c r="Y19" s="395"/>
      <c r="Z19" s="395"/>
      <c r="AA19" s="395"/>
      <c r="AB19" s="389"/>
      <c r="AC19" s="389"/>
      <c r="AD19" s="389"/>
      <c r="AE19" s="386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0"/>
      <c r="AT19" s="240"/>
      <c r="AU19" s="395"/>
      <c r="AV19" s="387">
        <f t="shared" si="2"/>
        <v>800000</v>
      </c>
      <c r="AW19" s="387">
        <f t="shared" si="4"/>
        <v>800000</v>
      </c>
      <c r="AX19" s="524">
        <f t="shared" si="6"/>
        <v>0</v>
      </c>
    </row>
    <row r="20" spans="1:50">
      <c r="A20" s="384" t="str">
        <f>'G Financial'!A59</f>
        <v>Operating Deficit</v>
      </c>
      <c r="B20" s="490">
        <f>'G Financial'!C59</f>
        <v>7770.0000000000018</v>
      </c>
      <c r="C20" s="390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>
        <f>$B20/4</f>
        <v>1942.5000000000005</v>
      </c>
      <c r="Z20" s="386">
        <f t="shared" ref="Z20:AB20" si="15">$B20/4</f>
        <v>1942.5000000000005</v>
      </c>
      <c r="AA20" s="386">
        <f t="shared" si="15"/>
        <v>1942.5000000000005</v>
      </c>
      <c r="AB20" s="386">
        <f t="shared" si="15"/>
        <v>1942.5000000000005</v>
      </c>
      <c r="AC20" s="389"/>
      <c r="AD20" s="389"/>
      <c r="AE20" s="386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5"/>
      <c r="AT20" s="531"/>
      <c r="AU20" s="531"/>
      <c r="AV20" s="387">
        <f t="shared" si="2"/>
        <v>7770.0000000000018</v>
      </c>
      <c r="AW20" s="387">
        <f t="shared" si="4"/>
        <v>7770.0000000000018</v>
      </c>
      <c r="AX20" s="524">
        <f t="shared" si="6"/>
        <v>0</v>
      </c>
    </row>
    <row r="21" spans="1:50">
      <c r="A21" s="384" t="str">
        <f>'G Financial'!A60</f>
        <v>Retail Tenant Improvements</v>
      </c>
      <c r="B21" s="490">
        <f>'G Financial'!C60</f>
        <v>900000</v>
      </c>
      <c r="C21" s="390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6"/>
      <c r="U21" s="386"/>
      <c r="V21" s="386">
        <f>$B21/3</f>
        <v>300000</v>
      </c>
      <c r="W21" s="386">
        <f t="shared" ref="W21:X21" si="16">$B21/3</f>
        <v>300000</v>
      </c>
      <c r="X21" s="386">
        <f t="shared" si="16"/>
        <v>300000</v>
      </c>
      <c r="Y21" s="386"/>
      <c r="Z21" s="386"/>
      <c r="AA21" s="389"/>
      <c r="AB21" s="389"/>
      <c r="AC21" s="390"/>
      <c r="AD21" s="389"/>
      <c r="AE21" s="386"/>
      <c r="AF21" s="395"/>
      <c r="AG21" s="395"/>
      <c r="AH21" s="395"/>
      <c r="AI21" s="395"/>
      <c r="AJ21" s="395"/>
      <c r="AK21" s="395"/>
      <c r="AL21" s="395"/>
      <c r="AM21" s="395"/>
      <c r="AN21" s="395"/>
      <c r="AO21" s="395"/>
      <c r="AP21" s="395"/>
      <c r="AQ21" s="395"/>
      <c r="AR21" s="395"/>
      <c r="AS21" s="395"/>
      <c r="AT21" s="395"/>
      <c r="AU21" s="395"/>
      <c r="AV21" s="387">
        <f t="shared" si="2"/>
        <v>900000</v>
      </c>
      <c r="AW21" s="387">
        <f t="shared" si="4"/>
        <v>900000</v>
      </c>
      <c r="AX21" s="524">
        <f t="shared" si="6"/>
        <v>0</v>
      </c>
    </row>
    <row r="22" spans="1:50">
      <c r="A22" s="384" t="str">
        <f>'G Financial'!A61</f>
        <v>Retail brokerage</v>
      </c>
      <c r="B22" s="490">
        <f>'G Financial'!C61</f>
        <v>133200</v>
      </c>
      <c r="C22" s="390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>
        <f>$B22/3</f>
        <v>44400</v>
      </c>
      <c r="Y22" s="386">
        <f t="shared" ref="Y22:Z22" si="17">$B22/3</f>
        <v>44400</v>
      </c>
      <c r="Z22" s="386">
        <f t="shared" si="17"/>
        <v>44400</v>
      </c>
      <c r="AA22" s="386"/>
      <c r="AB22" s="386"/>
      <c r="AC22" s="386"/>
      <c r="AD22" s="386"/>
      <c r="AE22" s="386"/>
      <c r="AF22" s="395"/>
      <c r="AG22" s="395"/>
      <c r="AH22" s="395"/>
      <c r="AI22" s="395"/>
      <c r="AJ22" s="395"/>
      <c r="AK22" s="395"/>
      <c r="AL22" s="395"/>
      <c r="AM22" s="395"/>
      <c r="AN22" s="395"/>
      <c r="AO22" s="395"/>
      <c r="AP22" s="395"/>
      <c r="AQ22" s="395"/>
      <c r="AR22" s="395"/>
      <c r="AS22" s="386"/>
      <c r="AT22" s="386"/>
      <c r="AU22" s="386"/>
      <c r="AV22" s="387">
        <f t="shared" si="2"/>
        <v>133200</v>
      </c>
      <c r="AW22" s="387">
        <f t="shared" si="4"/>
        <v>133200</v>
      </c>
      <c r="AX22" s="524">
        <f t="shared" si="6"/>
        <v>0</v>
      </c>
    </row>
    <row r="23" spans="1:50">
      <c r="A23" s="384" t="str">
        <f>'G Financial'!A62</f>
        <v>Construction Loan Origination</v>
      </c>
      <c r="B23" s="490">
        <f>'G Financial'!C62</f>
        <v>89850</v>
      </c>
      <c r="C23" s="386">
        <f>$B$23*C4</f>
        <v>0</v>
      </c>
      <c r="D23" s="386">
        <f>$B$23*D4</f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/>
      <c r="L23" s="386">
        <v>0</v>
      </c>
      <c r="M23" s="240"/>
      <c r="N23" s="386">
        <v>0</v>
      </c>
      <c r="O23" s="386">
        <v>0</v>
      </c>
      <c r="P23" s="386">
        <f>$B23</f>
        <v>89850</v>
      </c>
      <c r="Q23" s="386"/>
      <c r="R23" s="386"/>
      <c r="S23" s="386"/>
      <c r="T23" s="386"/>
      <c r="U23" s="386"/>
      <c r="V23" s="386"/>
      <c r="W23" s="240"/>
      <c r="X23" s="386"/>
      <c r="Y23" s="386"/>
      <c r="Z23" s="386"/>
      <c r="AA23" s="386"/>
      <c r="AB23" s="386"/>
      <c r="AC23" s="386"/>
      <c r="AD23" s="386"/>
      <c r="AE23" s="386"/>
      <c r="AF23" s="395"/>
      <c r="AG23" s="39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86"/>
      <c r="AT23" s="386"/>
      <c r="AU23" s="386"/>
      <c r="AV23" s="387">
        <f t="shared" si="2"/>
        <v>89850</v>
      </c>
      <c r="AW23" s="387">
        <f t="shared" si="4"/>
        <v>89850</v>
      </c>
      <c r="AX23" s="524">
        <f t="shared" si="6"/>
        <v>0</v>
      </c>
    </row>
    <row r="24" spans="1:50">
      <c r="A24" s="384" t="str">
        <f>'G Financial'!A63</f>
        <v>Construction Interest</v>
      </c>
      <c r="B24" s="490">
        <f>'G Financial'!C63</f>
        <v>419300</v>
      </c>
      <c r="C24" s="397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>
        <f t="shared" ref="U24:W24" si="18">0.1*$B24</f>
        <v>41930</v>
      </c>
      <c r="V24" s="386">
        <f t="shared" si="18"/>
        <v>41930</v>
      </c>
      <c r="W24" s="386">
        <f t="shared" si="18"/>
        <v>41930</v>
      </c>
      <c r="X24" s="386">
        <f>0.1*$B24</f>
        <v>41930</v>
      </c>
      <c r="Y24" s="386">
        <f>0.15*$B24</f>
        <v>62895</v>
      </c>
      <c r="Z24" s="386">
        <f t="shared" ref="Z24:AA24" si="19">0.15*$B24</f>
        <v>62895</v>
      </c>
      <c r="AA24" s="386">
        <f t="shared" si="19"/>
        <v>62895</v>
      </c>
      <c r="AB24" s="386">
        <f>0.15*$B24</f>
        <v>62895</v>
      </c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7">
        <f t="shared" si="2"/>
        <v>419300</v>
      </c>
      <c r="AW24" s="387">
        <f t="shared" si="4"/>
        <v>419300</v>
      </c>
      <c r="AX24" s="524">
        <f t="shared" si="6"/>
        <v>0</v>
      </c>
    </row>
    <row r="25" spans="1:50" ht="26.25" customHeight="1" thickBot="1">
      <c r="A25" s="467" t="str">
        <f>'G Financial'!A64</f>
        <v>Additional Contingency</v>
      </c>
      <c r="B25" s="400">
        <f>'G Financial'!C64</f>
        <v>500000</v>
      </c>
      <c r="C25" s="399">
        <v>0</v>
      </c>
      <c r="D25" s="399">
        <v>0</v>
      </c>
      <c r="E25" s="399">
        <v>0</v>
      </c>
      <c r="F25" s="399"/>
      <c r="G25" s="399">
        <v>0</v>
      </c>
      <c r="H25" s="399">
        <v>0</v>
      </c>
      <c r="I25" s="399">
        <v>0</v>
      </c>
      <c r="J25" s="399">
        <v>0</v>
      </c>
      <c r="K25" s="399">
        <v>0</v>
      </c>
      <c r="L25" s="399"/>
      <c r="M25" s="399"/>
      <c r="N25" s="399"/>
      <c r="O25" s="399"/>
      <c r="P25" s="399"/>
      <c r="Q25" s="399">
        <f t="shared" ref="Q25:W25" si="20">$B25*Q4</f>
        <v>50000</v>
      </c>
      <c r="R25" s="399">
        <f t="shared" si="20"/>
        <v>50000</v>
      </c>
      <c r="S25" s="399">
        <f t="shared" si="20"/>
        <v>50000</v>
      </c>
      <c r="T25" s="399">
        <f t="shared" si="20"/>
        <v>75000</v>
      </c>
      <c r="U25" s="399">
        <f t="shared" si="20"/>
        <v>75000</v>
      </c>
      <c r="V25" s="399">
        <f t="shared" si="20"/>
        <v>75000</v>
      </c>
      <c r="W25" s="399">
        <f t="shared" si="20"/>
        <v>75000</v>
      </c>
      <c r="X25" s="399">
        <f>$B25*X4</f>
        <v>50000</v>
      </c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399"/>
      <c r="AS25" s="399"/>
      <c r="AT25" s="399"/>
      <c r="AU25" s="399"/>
      <c r="AV25" s="400">
        <f t="shared" si="2"/>
        <v>500000</v>
      </c>
      <c r="AW25" s="400">
        <f t="shared" si="4"/>
        <v>500000</v>
      </c>
      <c r="AX25" s="524">
        <f t="shared" si="6"/>
        <v>0</v>
      </c>
    </row>
    <row r="26" spans="1:50" ht="16.5" thickTop="1" thickBot="1">
      <c r="A26" s="173">
        <f>'Courthouse Financial '!A65</f>
        <v>0.6</v>
      </c>
      <c r="B26" s="174">
        <f t="shared" ref="B26:AB26" si="21">SUM(B5:B25)</f>
        <v>9660454.2739199996</v>
      </c>
      <c r="C26" s="149">
        <f t="shared" si="21"/>
        <v>0</v>
      </c>
      <c r="D26" s="149">
        <f t="shared" si="21"/>
        <v>0</v>
      </c>
      <c r="E26" s="149">
        <f t="shared" si="21"/>
        <v>113597.26639999999</v>
      </c>
      <c r="F26" s="149">
        <f t="shared" si="21"/>
        <v>88597.266399999993</v>
      </c>
      <c r="G26" s="149">
        <f t="shared" si="21"/>
        <v>25597.2664</v>
      </c>
      <c r="H26" s="149">
        <f t="shared" si="21"/>
        <v>25597.2664</v>
      </c>
      <c r="I26" s="149">
        <f t="shared" si="21"/>
        <v>25597.2664</v>
      </c>
      <c r="J26" s="149">
        <f t="shared" si="21"/>
        <v>55597.2664</v>
      </c>
      <c r="K26" s="149">
        <f t="shared" si="21"/>
        <v>45597.2664</v>
      </c>
      <c r="L26" s="149">
        <f t="shared" si="21"/>
        <v>69597.266399999993</v>
      </c>
      <c r="M26" s="149">
        <f t="shared" si="21"/>
        <v>45597.2664</v>
      </c>
      <c r="N26" s="149">
        <f t="shared" si="21"/>
        <v>75597.266399999993</v>
      </c>
      <c r="O26" s="149">
        <f t="shared" si="21"/>
        <v>40000</v>
      </c>
      <c r="P26" s="149">
        <f t="shared" si="21"/>
        <v>129850</v>
      </c>
      <c r="Q26" s="149">
        <f t="shared" si="21"/>
        <v>1201436.1609920003</v>
      </c>
      <c r="R26" s="149">
        <f t="shared" si="21"/>
        <v>296436.16099200002</v>
      </c>
      <c r="S26" s="149">
        <f t="shared" si="21"/>
        <v>251436.16099200002</v>
      </c>
      <c r="T26" s="149">
        <f t="shared" si="21"/>
        <v>377154.24148799997</v>
      </c>
      <c r="U26" s="149">
        <f t="shared" si="21"/>
        <v>419084.24148799997</v>
      </c>
      <c r="V26" s="149">
        <f t="shared" si="21"/>
        <v>1045750.9081546667</v>
      </c>
      <c r="W26" s="149">
        <f t="shared" si="21"/>
        <v>985750.90815466666</v>
      </c>
      <c r="X26" s="149">
        <f t="shared" si="21"/>
        <v>904432.82765866676</v>
      </c>
      <c r="Y26" s="149">
        <f t="shared" si="21"/>
        <v>109237.5</v>
      </c>
      <c r="Z26" s="149">
        <f t="shared" si="21"/>
        <v>199237.5</v>
      </c>
      <c r="AA26" s="149">
        <f t="shared" si="21"/>
        <v>64837.5</v>
      </c>
      <c r="AB26" s="149">
        <f t="shared" si="21"/>
        <v>64837.5</v>
      </c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6">
        <f>SUM(AV5:AV25)</f>
        <v>6660454.2739200005</v>
      </c>
      <c r="AW26" s="145">
        <f>SUM(AW5:AW25)</f>
        <v>9660454.2739199996</v>
      </c>
      <c r="AX26" s="145"/>
    </row>
    <row r="27" spans="1:50">
      <c r="A27" s="147" t="s">
        <v>261</v>
      </c>
      <c r="B27" s="175">
        <f>'G Financial'!B63</f>
        <v>7.0000000000000007E-2</v>
      </c>
      <c r="C27" s="176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9"/>
      <c r="AW27" s="176"/>
      <c r="AX27" s="145"/>
    </row>
    <row r="28" spans="1:50" ht="15.75" thickBot="1">
      <c r="A28" s="401" t="s">
        <v>262</v>
      </c>
      <c r="B28" s="491">
        <f>B26+B27</f>
        <v>9660454.3439199999</v>
      </c>
      <c r="C28" s="492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4"/>
      <c r="AU28" s="414"/>
      <c r="AV28" s="414"/>
      <c r="AW28" s="492"/>
      <c r="AX28" s="403"/>
    </row>
    <row r="29" spans="1:50">
      <c r="A29" s="154" t="s">
        <v>263</v>
      </c>
      <c r="B29" s="155">
        <f>SUM(C29:AV29)</f>
        <v>3864000</v>
      </c>
      <c r="C29" s="387">
        <f>C26</f>
        <v>0</v>
      </c>
      <c r="D29" s="387">
        <f t="shared" ref="D29:AB29" si="22">IF(C30+D26&lt;=$B$30,D26,($B$30-C30))</f>
        <v>0</v>
      </c>
      <c r="E29" s="387">
        <f t="shared" si="22"/>
        <v>113597.26639999999</v>
      </c>
      <c r="F29" s="387">
        <f t="shared" si="22"/>
        <v>88597.266399999993</v>
      </c>
      <c r="G29" s="387">
        <f t="shared" si="22"/>
        <v>25597.2664</v>
      </c>
      <c r="H29" s="387">
        <f t="shared" si="22"/>
        <v>25597.2664</v>
      </c>
      <c r="I29" s="387">
        <f t="shared" si="22"/>
        <v>25597.2664</v>
      </c>
      <c r="J29" s="387">
        <f t="shared" si="22"/>
        <v>55597.2664</v>
      </c>
      <c r="K29" s="387">
        <f t="shared" si="22"/>
        <v>45597.2664</v>
      </c>
      <c r="L29" s="387">
        <f t="shared" si="22"/>
        <v>69597.266399999993</v>
      </c>
      <c r="M29" s="387">
        <f t="shared" si="22"/>
        <v>45597.2664</v>
      </c>
      <c r="N29" s="387">
        <f t="shared" si="22"/>
        <v>75597.266399999993</v>
      </c>
      <c r="O29" s="387">
        <f t="shared" si="22"/>
        <v>40000</v>
      </c>
      <c r="P29" s="387">
        <f t="shared" si="22"/>
        <v>129850</v>
      </c>
      <c r="Q29" s="387">
        <f t="shared" si="22"/>
        <v>1201436.1609920003</v>
      </c>
      <c r="R29" s="387">
        <f t="shared" si="22"/>
        <v>296436.16099200002</v>
      </c>
      <c r="S29" s="387">
        <f t="shared" si="22"/>
        <v>251436.16099200002</v>
      </c>
      <c r="T29" s="387">
        <f t="shared" si="22"/>
        <v>377154.24148799997</v>
      </c>
      <c r="U29" s="387">
        <f t="shared" si="22"/>
        <v>419084.24148799997</v>
      </c>
      <c r="V29" s="387">
        <f t="shared" si="22"/>
        <v>577630.37004799955</v>
      </c>
      <c r="W29" s="387">
        <f t="shared" si="22"/>
        <v>0</v>
      </c>
      <c r="X29" s="387">
        <f t="shared" si="22"/>
        <v>0</v>
      </c>
      <c r="Y29" s="387">
        <f t="shared" si="22"/>
        <v>0</v>
      </c>
      <c r="Z29" s="387">
        <f t="shared" si="22"/>
        <v>0</v>
      </c>
      <c r="AA29" s="387">
        <f t="shared" si="22"/>
        <v>0</v>
      </c>
      <c r="AB29" s="387">
        <f t="shared" si="22"/>
        <v>0</v>
      </c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408"/>
      <c r="AW29" s="407"/>
      <c r="AX29" s="406"/>
    </row>
    <row r="30" spans="1:50" ht="15.75" thickBot="1">
      <c r="A30" s="384" t="s">
        <v>264</v>
      </c>
      <c r="B30" s="151">
        <f>'G Financial'!B76</f>
        <v>3864000</v>
      </c>
      <c r="C30" s="387">
        <f>C29</f>
        <v>0</v>
      </c>
      <c r="D30" s="387">
        <f>IF(SUM($C$29:D29)&lt;=$B30,SUM($C$29:D29),0)</f>
        <v>0</v>
      </c>
      <c r="E30" s="387">
        <f>IF(SUM($C$29:E29)&lt;=$B30,SUM($C$29:E29),0)</f>
        <v>113597.26639999999</v>
      </c>
      <c r="F30" s="387">
        <f>IF(SUM($C$29:F29)&lt;=$B30,SUM($C$29:F29),0)</f>
        <v>202194.53279999999</v>
      </c>
      <c r="G30" s="387">
        <f>IF(SUM($C$29:G29)&lt;=$B30,SUM($C$29:G29),0)</f>
        <v>227791.79919999998</v>
      </c>
      <c r="H30" s="387">
        <f>IF(SUM($C$29:H29)&lt;=$B30,SUM($C$29:H29),0)</f>
        <v>253389.06559999997</v>
      </c>
      <c r="I30" s="387">
        <f>IF(SUM($C$29:I29)&lt;=$B30,SUM($C$29:I29),0)</f>
        <v>278986.33199999999</v>
      </c>
      <c r="J30" s="387">
        <f>IF(SUM($C$29:J29)&lt;=$B30,SUM($C$29:J29),0)</f>
        <v>334583.59840000002</v>
      </c>
      <c r="K30" s="387">
        <f>IF(SUM($C$29:K29)&lt;=$B30,SUM($C$29:K29),0)</f>
        <v>380180.86480000004</v>
      </c>
      <c r="L30" s="387">
        <f>IF(SUM($C$29:L29)&lt;=$B30,SUM($C$29:L29),0)</f>
        <v>449778.13120000006</v>
      </c>
      <c r="M30" s="387">
        <f>IF(SUM($C$29:M29)&lt;=$B30,SUM($C$29:M29),0)</f>
        <v>495375.39760000008</v>
      </c>
      <c r="N30" s="387">
        <f>IF(SUM($C$29:N29)&lt;=$B30,SUM($C$29:N29),0)</f>
        <v>570972.66400000011</v>
      </c>
      <c r="O30" s="387">
        <f>IF(SUM($C$29:O29)&lt;=$B30,SUM($C$29:O29),0)</f>
        <v>610972.66400000011</v>
      </c>
      <c r="P30" s="387">
        <f>IF(SUM($C$29:P29)&lt;=$B30,SUM($C$29:P29),0)</f>
        <v>740822.66400000011</v>
      </c>
      <c r="Q30" s="387">
        <f>IF(SUM($C$29:Q29)&lt;=$B30,SUM($C$29:Q29),0)</f>
        <v>1942258.8249920004</v>
      </c>
      <c r="R30" s="387">
        <f>IF(SUM($C$29:R29)&lt;=$B30,SUM($C$29:R29),0)</f>
        <v>2238694.9859840004</v>
      </c>
      <c r="S30" s="387">
        <f>IF(SUM($C$29:S29)&lt;=$B30,SUM($C$29:S29),0)</f>
        <v>2490131.1469760006</v>
      </c>
      <c r="T30" s="387">
        <f>IF(SUM($C$29:T29)&lt;=$B30,SUM($C$29:T29),0)</f>
        <v>2867285.3884640005</v>
      </c>
      <c r="U30" s="387">
        <f>IF(SUM($C$29:U29)&lt;=$B30,SUM($C$29:U29),0)</f>
        <v>3286369.6299520005</v>
      </c>
      <c r="V30" s="387">
        <f>IF(SUM($C$29:V29)&lt;=$B30,SUM($C$29:V29),0)</f>
        <v>3864000</v>
      </c>
      <c r="W30" s="387">
        <f>IF(SUM($C$29:W29)&lt;=$B30,SUM($C$29:W29),0)</f>
        <v>3864000</v>
      </c>
      <c r="X30" s="387">
        <f>IF(SUM($C$29:X29)&lt;=$B30,SUM($C$29:X29),0)</f>
        <v>3864000</v>
      </c>
      <c r="Y30" s="387">
        <f>IF(SUM($C$29:Y29)&lt;=$B30,SUM($C$29:Y29),0)</f>
        <v>3864000</v>
      </c>
      <c r="Z30" s="387">
        <f>IF(SUM($C$29:Z29)&lt;=$B30,SUM($C$29:Z29),0)</f>
        <v>3864000</v>
      </c>
      <c r="AA30" s="387">
        <f>IF(SUM($C$29:AA29)&lt;=$B30,SUM($C$29:AA29),0)</f>
        <v>3864000</v>
      </c>
      <c r="AB30" s="387">
        <f>IF(SUM($C$29:AB29)&lt;=$B30,SUM($C$29:AB29),0)</f>
        <v>3864000</v>
      </c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408"/>
      <c r="AW30" s="407"/>
      <c r="AX30" s="406"/>
    </row>
    <row r="31" spans="1:50">
      <c r="A31" s="152" t="s">
        <v>265</v>
      </c>
      <c r="B31" s="153">
        <f>'G Financial'!B75</f>
        <v>5796000</v>
      </c>
      <c r="C31" s="407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408"/>
      <c r="AQ31" s="408"/>
      <c r="AR31" s="408"/>
      <c r="AS31" s="408"/>
      <c r="AT31" s="408"/>
      <c r="AU31" s="408"/>
      <c r="AV31" s="408"/>
      <c r="AW31" s="407"/>
      <c r="AX31" s="406"/>
    </row>
    <row r="32" spans="1:50" ht="15.75" thickBot="1">
      <c r="A32" s="409" t="s">
        <v>266</v>
      </c>
      <c r="B32" s="410">
        <f>PMT(0.045,30,(B31))</f>
        <v>-355825.38269820588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8"/>
      <c r="AT32" s="408"/>
      <c r="AU32" s="408"/>
      <c r="AV32" s="408"/>
      <c r="AW32" s="407"/>
      <c r="AX32" s="406"/>
    </row>
    <row r="33" spans="1:50">
      <c r="A33" s="154" t="s">
        <v>267</v>
      </c>
      <c r="B33" s="155">
        <f>SUM(C33:AV33)</f>
        <v>0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258"/>
      <c r="AT33" s="258"/>
      <c r="AU33" s="258"/>
      <c r="AV33" s="412"/>
      <c r="AW33" s="414"/>
      <c r="AX33" s="406"/>
    </row>
    <row r="34" spans="1:50">
      <c r="A34" s="411" t="s">
        <v>268</v>
      </c>
      <c r="B34" s="155"/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258"/>
      <c r="AT34" s="258"/>
      <c r="AU34" s="258"/>
      <c r="AV34" s="412"/>
      <c r="AW34" s="414"/>
      <c r="AX34" s="406"/>
    </row>
    <row r="35" spans="1:50" ht="15.75" thickBot="1">
      <c r="A35" s="404" t="s">
        <v>269</v>
      </c>
      <c r="B35" s="405">
        <f>'G Financial'!B83+'G Financial'!B84</f>
        <v>3728300</v>
      </c>
      <c r="C35" s="494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413"/>
      <c r="AV35" s="414"/>
      <c r="AW35" s="414"/>
      <c r="AX35" s="419"/>
    </row>
    <row r="36" spans="1:50">
      <c r="A36" s="404" t="s">
        <v>270</v>
      </c>
      <c r="B36" s="233">
        <f>SUM(C36:AU36)</f>
        <v>-135700</v>
      </c>
      <c r="C36" s="387">
        <f t="shared" ref="C36:AA36" si="23">-C29</f>
        <v>0</v>
      </c>
      <c r="D36" s="387">
        <f t="shared" si="23"/>
        <v>0</v>
      </c>
      <c r="E36" s="387">
        <f t="shared" si="23"/>
        <v>-113597.26639999999</v>
      </c>
      <c r="F36" s="387">
        <f t="shared" si="23"/>
        <v>-88597.266399999993</v>
      </c>
      <c r="G36" s="387">
        <f t="shared" si="23"/>
        <v>-25597.2664</v>
      </c>
      <c r="H36" s="387">
        <f t="shared" si="23"/>
        <v>-25597.2664</v>
      </c>
      <c r="I36" s="387">
        <f t="shared" si="23"/>
        <v>-25597.2664</v>
      </c>
      <c r="J36" s="387">
        <f t="shared" si="23"/>
        <v>-55597.2664</v>
      </c>
      <c r="K36" s="387">
        <f t="shared" si="23"/>
        <v>-45597.2664</v>
      </c>
      <c r="L36" s="387">
        <f t="shared" si="23"/>
        <v>-69597.266399999993</v>
      </c>
      <c r="M36" s="387">
        <f t="shared" si="23"/>
        <v>-45597.2664</v>
      </c>
      <c r="N36" s="387">
        <f t="shared" si="23"/>
        <v>-75597.266399999993</v>
      </c>
      <c r="O36" s="387">
        <f t="shared" si="23"/>
        <v>-40000</v>
      </c>
      <c r="P36" s="387">
        <f t="shared" si="23"/>
        <v>-129850</v>
      </c>
      <c r="Q36" s="387">
        <f t="shared" si="23"/>
        <v>-1201436.1609920003</v>
      </c>
      <c r="R36" s="387">
        <f t="shared" si="23"/>
        <v>-296436.16099200002</v>
      </c>
      <c r="S36" s="387">
        <f t="shared" si="23"/>
        <v>-251436.16099200002</v>
      </c>
      <c r="T36" s="387">
        <f t="shared" si="23"/>
        <v>-377154.24148799997</v>
      </c>
      <c r="U36" s="387">
        <f t="shared" si="23"/>
        <v>-419084.24148799997</v>
      </c>
      <c r="V36" s="387">
        <f t="shared" si="23"/>
        <v>-577630.37004799955</v>
      </c>
      <c r="W36" s="387">
        <f t="shared" si="23"/>
        <v>0</v>
      </c>
      <c r="X36" s="387">
        <f t="shared" si="23"/>
        <v>0</v>
      </c>
      <c r="Y36" s="387">
        <f t="shared" si="23"/>
        <v>0</v>
      </c>
      <c r="Z36" s="387">
        <f t="shared" si="23"/>
        <v>0</v>
      </c>
      <c r="AA36" s="387">
        <f t="shared" si="23"/>
        <v>0</v>
      </c>
      <c r="AB36" s="419">
        <f>B35</f>
        <v>3728300</v>
      </c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258"/>
      <c r="AT36" s="258"/>
      <c r="AU36" s="234"/>
      <c r="AV36" s="414"/>
      <c r="AW36" s="414"/>
      <c r="AX36" s="387"/>
    </row>
    <row r="37" spans="1:50">
      <c r="A37" s="404" t="s">
        <v>298</v>
      </c>
      <c r="B37" s="231">
        <f>IF(B36&lt;0,0,IRR(C36:AU36))</f>
        <v>0</v>
      </c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161"/>
      <c r="AV37" s="414"/>
      <c r="AW37" s="414"/>
      <c r="AX37" s="421"/>
    </row>
    <row r="38" spans="1:50">
      <c r="A38" s="394" t="s">
        <v>272</v>
      </c>
      <c r="B38" s="422">
        <f>POWER((1+B37),4)-1</f>
        <v>0</v>
      </c>
      <c r="C38" s="414"/>
      <c r="D38" s="414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24"/>
      <c r="Q38" s="423"/>
      <c r="R38" s="423"/>
      <c r="S38" s="423"/>
      <c r="T38" s="423"/>
      <c r="U38" s="423"/>
      <c r="V38" s="424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423"/>
      <c r="AJ38" s="423"/>
      <c r="AK38" s="423"/>
      <c r="AL38" s="423"/>
      <c r="AM38" s="423"/>
      <c r="AN38" s="423"/>
      <c r="AO38" s="423"/>
      <c r="AP38" s="423"/>
      <c r="AQ38" s="423"/>
      <c r="AR38" s="423"/>
      <c r="AS38" s="423"/>
      <c r="AT38" s="423"/>
      <c r="AU38" s="138"/>
      <c r="AV38" s="414"/>
      <c r="AW38" s="423"/>
      <c r="AX38" s="425"/>
    </row>
    <row r="39" spans="1:50">
      <c r="A39" s="426" t="s">
        <v>273</v>
      </c>
      <c r="B39" s="156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156"/>
      <c r="AV39" s="414"/>
      <c r="AW39" s="414"/>
      <c r="AX39" s="394"/>
    </row>
    <row r="40" spans="1:50">
      <c r="A40" s="404" t="s">
        <v>274</v>
      </c>
      <c r="B40" s="191">
        <f>'G Financial'!B83-B27</f>
        <v>9524299.9299999997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08"/>
      <c r="N40" s="414"/>
      <c r="O40" s="414"/>
      <c r="P40" s="414"/>
      <c r="Q40" s="414"/>
      <c r="R40" s="414"/>
      <c r="S40" s="408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156"/>
      <c r="AV40" s="394"/>
      <c r="AW40" s="414"/>
      <c r="AX40" s="394"/>
    </row>
    <row r="41" spans="1:50">
      <c r="A41" s="404" t="s">
        <v>275</v>
      </c>
      <c r="B41" s="233">
        <f>SUM(C41:AU41)</f>
        <v>2863845.6560800001</v>
      </c>
      <c r="C41" s="387">
        <f>-C26</f>
        <v>0</v>
      </c>
      <c r="D41" s="387">
        <f t="shared" ref="D41:AA41" si="24">-D26</f>
        <v>0</v>
      </c>
      <c r="E41" s="387">
        <f t="shared" si="24"/>
        <v>-113597.26639999999</v>
      </c>
      <c r="F41" s="387">
        <f t="shared" si="24"/>
        <v>-88597.266399999993</v>
      </c>
      <c r="G41" s="387">
        <f t="shared" si="24"/>
        <v>-25597.2664</v>
      </c>
      <c r="H41" s="387">
        <f t="shared" si="24"/>
        <v>-25597.2664</v>
      </c>
      <c r="I41" s="387">
        <f t="shared" si="24"/>
        <v>-25597.2664</v>
      </c>
      <c r="J41" s="387">
        <f t="shared" si="24"/>
        <v>-55597.2664</v>
      </c>
      <c r="K41" s="387">
        <f t="shared" si="24"/>
        <v>-45597.2664</v>
      </c>
      <c r="L41" s="387">
        <f t="shared" si="24"/>
        <v>-69597.266399999993</v>
      </c>
      <c r="M41" s="387">
        <f t="shared" si="24"/>
        <v>-45597.2664</v>
      </c>
      <c r="N41" s="387">
        <f t="shared" si="24"/>
        <v>-75597.266399999993</v>
      </c>
      <c r="O41" s="387">
        <f t="shared" si="24"/>
        <v>-40000</v>
      </c>
      <c r="P41" s="387">
        <f t="shared" si="24"/>
        <v>-129850</v>
      </c>
      <c r="Q41" s="387">
        <f t="shared" si="24"/>
        <v>-1201436.1609920003</v>
      </c>
      <c r="R41" s="387">
        <f t="shared" si="24"/>
        <v>-296436.16099200002</v>
      </c>
      <c r="S41" s="387">
        <f t="shared" si="24"/>
        <v>-251436.16099200002</v>
      </c>
      <c r="T41" s="387">
        <f t="shared" si="24"/>
        <v>-377154.24148799997</v>
      </c>
      <c r="U41" s="387">
        <f t="shared" si="24"/>
        <v>-419084.24148799997</v>
      </c>
      <c r="V41" s="387">
        <f t="shared" si="24"/>
        <v>-1045750.9081546667</v>
      </c>
      <c r="W41" s="387">
        <f t="shared" si="24"/>
        <v>-985750.90815466666</v>
      </c>
      <c r="X41" s="387">
        <f t="shared" si="24"/>
        <v>-904432.82765866676</v>
      </c>
      <c r="Y41" s="387">
        <f t="shared" si="24"/>
        <v>-109237.5</v>
      </c>
      <c r="Z41" s="387">
        <f t="shared" si="24"/>
        <v>-199237.5</v>
      </c>
      <c r="AA41" s="387">
        <f t="shared" si="24"/>
        <v>-64837.5</v>
      </c>
      <c r="AB41" s="419">
        <f>B40-AB26</f>
        <v>9459462.4299999997</v>
      </c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>
        <f t="shared" ref="AS41:AU41" si="25">IF(AS30&gt;=$B$30,-(AS26+AS36),AS36)</f>
        <v>0</v>
      </c>
      <c r="AT41" s="387">
        <f t="shared" si="25"/>
        <v>0</v>
      </c>
      <c r="AU41" s="406">
        <f t="shared" si="25"/>
        <v>0</v>
      </c>
      <c r="AV41" s="394"/>
      <c r="AW41" s="394"/>
      <c r="AX41" s="394"/>
    </row>
    <row r="42" spans="1:50">
      <c r="A42" s="404" t="s">
        <v>276</v>
      </c>
      <c r="B42" s="231">
        <f>IF(B41&lt;0,0,IRR(C41:AU41))</f>
        <v>4.353004225479995E-2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156"/>
      <c r="AV42" s="414"/>
      <c r="AW42" s="414"/>
      <c r="AX42" s="394"/>
    </row>
    <row r="43" spans="1:50">
      <c r="A43" s="394" t="s">
        <v>277</v>
      </c>
      <c r="B43" s="422">
        <f>POWER((1+B42),4)-1</f>
        <v>0.18582288114391199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156"/>
      <c r="AV43" s="414"/>
      <c r="AW43" s="414"/>
      <c r="AX43" s="394"/>
    </row>
    <row r="44" spans="1:50">
      <c r="G44" s="21"/>
      <c r="AB44" s="21"/>
      <c r="AE44" s="21"/>
      <c r="AU44" s="21"/>
    </row>
    <row r="45" spans="1:50">
      <c r="G45" s="21"/>
      <c r="AB45" s="21"/>
      <c r="AE45" s="21"/>
      <c r="AU45" s="21"/>
    </row>
    <row r="46" spans="1:50">
      <c r="G46" s="21"/>
      <c r="AB46" s="21"/>
      <c r="AE46" s="21"/>
      <c r="AU46" s="21"/>
    </row>
    <row r="47" spans="1:50">
      <c r="G47" s="21"/>
      <c r="AB47" s="21"/>
      <c r="AE47" s="21"/>
      <c r="AU47" s="21"/>
    </row>
    <row r="48" spans="1:50">
      <c r="G48" s="21"/>
      <c r="AB48" s="21"/>
      <c r="AE48" s="21"/>
      <c r="AU48" s="21"/>
    </row>
    <row r="49" spans="7:47">
      <c r="G49" s="21"/>
      <c r="AB49" s="21"/>
      <c r="AE49" s="21"/>
      <c r="AU49" s="21"/>
    </row>
    <row r="50" spans="7:47">
      <c r="G50" s="21"/>
      <c r="AB50" s="21"/>
      <c r="AE50" s="21"/>
      <c r="AU50" s="21"/>
    </row>
    <row r="51" spans="7:47">
      <c r="G51" s="21"/>
    </row>
    <row r="52" spans="7:47">
      <c r="G52" s="21"/>
    </row>
    <row r="53" spans="7:47">
      <c r="G53" s="21"/>
    </row>
    <row r="54" spans="7:47">
      <c r="G54" s="21"/>
    </row>
    <row r="55" spans="7:47">
      <c r="G55" s="21"/>
    </row>
    <row r="56" spans="7:47">
      <c r="G56" s="21"/>
    </row>
    <row r="57" spans="7:47">
      <c r="G57" s="21"/>
    </row>
    <row r="58" spans="7:47">
      <c r="G58" s="21"/>
    </row>
    <row r="59" spans="7:47">
      <c r="G59" s="21"/>
    </row>
    <row r="60" spans="7:47">
      <c r="G60" s="21"/>
    </row>
    <row r="61" spans="7:47">
      <c r="G61" s="21"/>
    </row>
    <row r="62" spans="7:47">
      <c r="G62" s="21"/>
    </row>
    <row r="63" spans="7:47">
      <c r="G63" s="21"/>
    </row>
    <row r="64" spans="7:4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</sheetData>
  <mergeCells count="2">
    <mergeCell ref="A1:A3"/>
    <mergeCell ref="AV2:AX2"/>
  </mergeCells>
  <conditionalFormatting sqref="D3:AU3">
    <cfRule type="cellIs" dxfId="31" priority="1" operator="equal">
      <formula>#REF!</formula>
    </cfRule>
    <cfRule type="cellIs" dxfId="30" priority="2" operator="equal">
      <formula>#REF!</formula>
    </cfRule>
    <cfRule type="cellIs" dxfId="29" priority="3" operator="equal">
      <formula>#REF!</formula>
    </cfRule>
    <cfRule type="cellIs" dxfId="28" priority="4" operator="equal">
      <formula>#REF!</formula>
    </cfRule>
  </conditionalFormatting>
  <conditionalFormatting sqref="G3:AX3">
    <cfRule type="cellIs" dxfId="27" priority="5" operator="equal">
      <formula>#REF!</formula>
    </cfRule>
    <cfRule type="cellIs" dxfId="26" priority="6" operator="equal">
      <formula>#REF!</formula>
    </cfRule>
    <cfRule type="cellIs" dxfId="25" priority="7" operator="equal">
      <formula>#REF!</formula>
    </cfRule>
    <cfRule type="cellIs" dxfId="24" priority="8" operator="equal">
      <formula>#REF!</formula>
    </cfRule>
  </conditionalFormatting>
  <conditionalFormatting sqref="T4:AU4">
    <cfRule type="cellIs" dxfId="23" priority="13" operator="equal">
      <formula>#REF!</formula>
    </cfRule>
    <cfRule type="cellIs" dxfId="22" priority="14" operator="equal">
      <formula>#REF!</formula>
    </cfRule>
    <cfRule type="cellIs" dxfId="21" priority="15" operator="equal">
      <formula>#REF!</formula>
    </cfRule>
    <cfRule type="cellIs" dxfId="20" priority="16" operator="equal">
      <formula>#REF!</formula>
    </cfRule>
  </conditionalFormatting>
  <conditionalFormatting sqref="Y4:AC4">
    <cfRule type="cellIs" dxfId="19" priority="9" operator="equal">
      <formula>#REF!</formula>
    </cfRule>
    <cfRule type="cellIs" dxfId="18" priority="10" operator="equal">
      <formula>#REF!</formula>
    </cfRule>
    <cfRule type="cellIs" dxfId="17" priority="11" operator="equal">
      <formula>#REF!</formula>
    </cfRule>
    <cfRule type="cellIs" dxfId="16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BBFD2-1689-4AD9-AC1F-76F5ECD3E0B8}">
  <sheetPr>
    <tabColor rgb="FF0070C0"/>
  </sheetPr>
  <dimension ref="A1:AX598"/>
  <sheetViews>
    <sheetView zoomScaleNormal="100" zoomScalePageLayoutView="125" workbookViewId="0">
      <pane xSplit="1" ySplit="3" topLeftCell="B21" activePane="bottomRight" state="frozen"/>
      <selection pane="topRight" activeCell="B1" sqref="B1"/>
      <selection pane="bottomLeft" activeCell="A4" sqref="A4"/>
      <selection pane="bottomRight" activeCell="A36" sqref="A36:XFD36"/>
    </sheetView>
  </sheetViews>
  <sheetFormatPr defaultColWidth="8.85546875" defaultRowHeight="12.75"/>
  <cols>
    <col min="1" max="1" width="38.5703125" style="21" bestFit="1" customWidth="1"/>
    <col min="2" max="2" width="16.85546875" style="21" customWidth="1"/>
    <col min="3" max="3" width="18.85546875" style="21" customWidth="1"/>
    <col min="4" max="4" width="11.5703125" style="21" customWidth="1"/>
    <col min="5" max="5" width="17.85546875" style="21" customWidth="1"/>
    <col min="6" max="6" width="16.85546875" style="21" customWidth="1"/>
    <col min="7" max="7" width="10.5703125" style="139" bestFit="1" customWidth="1"/>
    <col min="8" max="15" width="11.5703125" style="21" bestFit="1" customWidth="1"/>
    <col min="16" max="16" width="21.42578125" style="21" customWidth="1"/>
    <col min="17" max="17" width="19.140625" style="21" customWidth="1"/>
    <col min="18" max="27" width="11.5703125" style="21" bestFit="1" customWidth="1"/>
    <col min="28" max="28" width="11.5703125" style="140" bestFit="1" customWidth="1"/>
    <col min="29" max="30" width="11.5703125" style="21" bestFit="1" customWidth="1"/>
    <col min="31" max="31" width="12.42578125" style="140" customWidth="1"/>
    <col min="32" max="32" width="17" style="21" customWidth="1"/>
    <col min="33" max="33" width="18.140625" style="21" customWidth="1"/>
    <col min="34" max="34" width="11.5703125" style="21" bestFit="1" customWidth="1"/>
    <col min="35" max="35" width="11.5703125" style="141" bestFit="1" customWidth="1"/>
    <col min="36" max="36" width="13.85546875" style="21" customWidth="1"/>
    <col min="37" max="37" width="12.140625" style="21" hidden="1" customWidth="1"/>
    <col min="38" max="43" width="11.5703125" style="21" hidden="1" customWidth="1"/>
    <col min="44" max="44" width="19.85546875" style="21" hidden="1" customWidth="1"/>
    <col min="45" max="47" width="11.5703125" style="21" hidden="1" customWidth="1"/>
    <col min="48" max="48" width="17" style="21" bestFit="1" customWidth="1"/>
    <col min="49" max="49" width="12.5703125" style="21" bestFit="1" customWidth="1"/>
    <col min="50" max="50" width="17.85546875" style="21" customWidth="1"/>
    <col min="51" max="51" width="9.5703125" style="21" bestFit="1" customWidth="1"/>
    <col min="52" max="52" width="11.85546875" style="21" bestFit="1" customWidth="1"/>
    <col min="53" max="54" width="9.5703125" style="21" bestFit="1" customWidth="1"/>
    <col min="55" max="16384" width="8.85546875" style="21"/>
  </cols>
  <sheetData>
    <row r="1" spans="1:50" ht="13.5" thickBot="1">
      <c r="A1" s="1299" t="str">
        <f>'Development Program'!B27</f>
        <v>4th Street Site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B1" s="21"/>
      <c r="AE1" s="21"/>
      <c r="AI1" s="21"/>
    </row>
    <row r="2" spans="1:50" ht="13.5" thickBot="1">
      <c r="A2" s="1283"/>
      <c r="B2" s="375" t="s">
        <v>250</v>
      </c>
      <c r="C2" s="377" t="str">
        <f>'Development Program'!D27</f>
        <v>01/1/28 to 12/31/28</v>
      </c>
      <c r="D2" s="377" t="str">
        <f>'Development Program'!E27</f>
        <v>1/1/29 to 6/30/29</v>
      </c>
      <c r="E2" s="377" t="str">
        <f>'Development Program'!F27</f>
        <v>7/1/29 to 6/30/31</v>
      </c>
      <c r="F2" s="377" t="str">
        <f>'Development Program'!G27</f>
        <v>7/1/31 to 12/31/31</v>
      </c>
      <c r="G2" s="21"/>
      <c r="P2" s="251" t="s">
        <v>251</v>
      </c>
      <c r="Q2" s="252" t="s">
        <v>252</v>
      </c>
      <c r="AB2" s="21"/>
      <c r="AE2" s="21"/>
      <c r="AF2" s="251" t="s">
        <v>283</v>
      </c>
      <c r="AG2" s="252" t="s">
        <v>284</v>
      </c>
      <c r="AI2" s="21"/>
      <c r="AJ2" s="251" t="s">
        <v>285</v>
      </c>
      <c r="AV2" s="1376" t="s">
        <v>256</v>
      </c>
      <c r="AW2" s="1376"/>
      <c r="AX2" s="1376"/>
    </row>
    <row r="3" spans="1:50" ht="13.5" thickBot="1">
      <c r="A3" s="1284"/>
      <c r="B3" s="142" t="s">
        <v>122</v>
      </c>
      <c r="C3" s="203">
        <v>45658</v>
      </c>
      <c r="D3" s="204">
        <f>EOMONTH(C3,3)</f>
        <v>45777</v>
      </c>
      <c r="E3" s="204">
        <f t="shared" ref="E3:AJ3" si="0">EOMONTH(D3,3)</f>
        <v>45869</v>
      </c>
      <c r="F3" s="204">
        <f t="shared" si="0"/>
        <v>45961</v>
      </c>
      <c r="G3" s="246">
        <f t="shared" si="0"/>
        <v>46053</v>
      </c>
      <c r="H3" s="246">
        <f t="shared" si="0"/>
        <v>46142</v>
      </c>
      <c r="I3" s="246">
        <f t="shared" si="0"/>
        <v>46234</v>
      </c>
      <c r="J3" s="246">
        <f t="shared" si="0"/>
        <v>46326</v>
      </c>
      <c r="K3" s="246">
        <f t="shared" si="0"/>
        <v>46418</v>
      </c>
      <c r="L3" s="246">
        <f t="shared" si="0"/>
        <v>46507</v>
      </c>
      <c r="M3" s="246">
        <f t="shared" si="0"/>
        <v>46599</v>
      </c>
      <c r="N3" s="246">
        <f t="shared" si="0"/>
        <v>46691</v>
      </c>
      <c r="O3" s="246">
        <f t="shared" si="0"/>
        <v>46783</v>
      </c>
      <c r="P3" s="246">
        <f t="shared" si="0"/>
        <v>46873</v>
      </c>
      <c r="Q3" s="246">
        <f t="shared" si="0"/>
        <v>46965</v>
      </c>
      <c r="R3" s="246">
        <f t="shared" si="0"/>
        <v>47057</v>
      </c>
      <c r="S3" s="246">
        <f t="shared" si="0"/>
        <v>47149</v>
      </c>
      <c r="T3" s="246">
        <f t="shared" si="0"/>
        <v>47238</v>
      </c>
      <c r="U3" s="246">
        <f t="shared" si="0"/>
        <v>47330</v>
      </c>
      <c r="V3" s="246">
        <f t="shared" si="0"/>
        <v>47422</v>
      </c>
      <c r="W3" s="246">
        <f t="shared" si="0"/>
        <v>47514</v>
      </c>
      <c r="X3" s="246">
        <f t="shared" si="0"/>
        <v>47603</v>
      </c>
      <c r="Y3" s="246">
        <f t="shared" si="0"/>
        <v>47695</v>
      </c>
      <c r="Z3" s="246">
        <f t="shared" si="0"/>
        <v>47787</v>
      </c>
      <c r="AA3" s="246">
        <f t="shared" si="0"/>
        <v>47879</v>
      </c>
      <c r="AB3" s="246">
        <f t="shared" si="0"/>
        <v>47968</v>
      </c>
      <c r="AC3" s="246">
        <f t="shared" si="0"/>
        <v>48060</v>
      </c>
      <c r="AD3" s="246">
        <f t="shared" si="0"/>
        <v>48152</v>
      </c>
      <c r="AE3" s="246">
        <f t="shared" si="0"/>
        <v>48244</v>
      </c>
      <c r="AF3" s="246">
        <f t="shared" si="0"/>
        <v>48334</v>
      </c>
      <c r="AG3" s="246">
        <f t="shared" si="0"/>
        <v>48426</v>
      </c>
      <c r="AH3" s="246">
        <f t="shared" si="0"/>
        <v>48518</v>
      </c>
      <c r="AI3" s="246">
        <f t="shared" si="0"/>
        <v>48610</v>
      </c>
      <c r="AJ3" s="246">
        <f t="shared" si="0"/>
        <v>48699</v>
      </c>
      <c r="AK3" s="246">
        <f t="shared" ref="AK3" si="1">EOMONTH(AJ3,3)</f>
        <v>48791</v>
      </c>
      <c r="AL3" s="246">
        <f t="shared" ref="AL3" si="2">EOMONTH(AK3,3)</f>
        <v>48883</v>
      </c>
      <c r="AM3" s="246">
        <f t="shared" ref="AM3" si="3">EOMONTH(AL3,3)</f>
        <v>48975</v>
      </c>
      <c r="AN3" s="246">
        <f t="shared" ref="AN3" si="4">EOMONTH(AM3,3)</f>
        <v>49064</v>
      </c>
      <c r="AO3" s="246">
        <f t="shared" ref="AO3" si="5">EOMONTH(AN3,3)</f>
        <v>49156</v>
      </c>
      <c r="AP3" s="246">
        <f t="shared" ref="AP3" si="6">EOMONTH(AO3,3)</f>
        <v>49248</v>
      </c>
      <c r="AQ3" s="246">
        <f t="shared" ref="AQ3" si="7">EOMONTH(AP3,3)</f>
        <v>49340</v>
      </c>
      <c r="AR3" s="246">
        <f t="shared" ref="AR3" si="8">EOMONTH(AQ3,3)</f>
        <v>49429</v>
      </c>
      <c r="AS3" s="246">
        <f t="shared" ref="AS3" si="9">EOMONTH(AR3,3)</f>
        <v>49521</v>
      </c>
      <c r="AT3" s="246">
        <f t="shared" ref="AT3" si="10">EOMONTH(AS3,3)</f>
        <v>49613</v>
      </c>
      <c r="AU3" s="246">
        <f t="shared" ref="AU3" si="11">EOMONTH(AT3,3)</f>
        <v>49705</v>
      </c>
      <c r="AV3" s="378" t="s">
        <v>257</v>
      </c>
      <c r="AW3" s="379" t="s">
        <v>258</v>
      </c>
      <c r="AX3" s="379"/>
    </row>
    <row r="4" spans="1:50" ht="13.5" thickBot="1">
      <c r="A4" s="380" t="s">
        <v>259</v>
      </c>
      <c r="B4" s="381">
        <v>1</v>
      </c>
      <c r="C4" s="239">
        <v>0</v>
      </c>
      <c r="D4" s="239">
        <v>0</v>
      </c>
      <c r="E4" s="239">
        <v>0</v>
      </c>
      <c r="F4" s="239">
        <f t="shared" ref="F4:G4" si="12">E4</f>
        <v>0</v>
      </c>
      <c r="G4" s="238">
        <f t="shared" si="12"/>
        <v>0</v>
      </c>
      <c r="H4" s="238">
        <f t="shared" ref="H4" si="13">G4</f>
        <v>0</v>
      </c>
      <c r="I4" s="238">
        <f t="shared" ref="I4" si="14">H4</f>
        <v>0</v>
      </c>
      <c r="J4" s="238">
        <f t="shared" ref="J4" si="15">I4</f>
        <v>0</v>
      </c>
      <c r="K4" s="238">
        <f t="shared" ref="K4" si="16">J4</f>
        <v>0</v>
      </c>
      <c r="L4" s="238">
        <f t="shared" ref="L4" si="17">K4</f>
        <v>0</v>
      </c>
      <c r="M4" s="238">
        <f t="shared" ref="M4" si="18">L4</f>
        <v>0</v>
      </c>
      <c r="N4" s="238">
        <f t="shared" ref="N4" si="19">M4</f>
        <v>0</v>
      </c>
      <c r="O4" s="238">
        <f t="shared" ref="O4" si="20">N4</f>
        <v>0</v>
      </c>
      <c r="P4" s="238">
        <f t="shared" ref="P4" si="21">O4</f>
        <v>0</v>
      </c>
      <c r="Q4" s="238">
        <v>0.05</v>
      </c>
      <c r="R4" s="238">
        <v>0.05</v>
      </c>
      <c r="S4" s="238">
        <v>0.05</v>
      </c>
      <c r="T4" s="238">
        <v>0.05</v>
      </c>
      <c r="U4" s="238">
        <v>0.08</v>
      </c>
      <c r="V4" s="238">
        <v>0.08</v>
      </c>
      <c r="W4" s="238">
        <v>0.08</v>
      </c>
      <c r="X4" s="238">
        <v>0.08</v>
      </c>
      <c r="Y4" s="238">
        <v>0.08</v>
      </c>
      <c r="Z4" s="238">
        <v>0.08</v>
      </c>
      <c r="AA4" s="238">
        <v>0.08</v>
      </c>
      <c r="AB4" s="238">
        <v>0.08</v>
      </c>
      <c r="AC4" s="238">
        <v>0.04</v>
      </c>
      <c r="AD4" s="238">
        <v>0.04</v>
      </c>
      <c r="AE4" s="238">
        <v>0.04</v>
      </c>
      <c r="AF4" s="238">
        <v>0.04</v>
      </c>
      <c r="AG4" s="238">
        <v>0</v>
      </c>
      <c r="AH4" s="238">
        <v>0</v>
      </c>
      <c r="AI4" s="238">
        <v>0</v>
      </c>
      <c r="AJ4" s="238">
        <v>0</v>
      </c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382">
        <f t="shared" ref="AV4:AV25" si="22">SUM(C4:AU4)</f>
        <v>1</v>
      </c>
      <c r="AW4" s="382"/>
      <c r="AX4" s="216" t="s">
        <v>260</v>
      </c>
    </row>
    <row r="5" spans="1:50">
      <c r="A5" s="384" t="str">
        <f>'F Financial'!A44</f>
        <v>Hard Costs for Construction</v>
      </c>
      <c r="B5" s="490">
        <f>'F Financial'!C44</f>
        <v>37200000</v>
      </c>
      <c r="C5" s="386">
        <f t="shared" ref="C5:AJ5" si="23">$B$5*C4</f>
        <v>0</v>
      </c>
      <c r="D5" s="386">
        <f t="shared" si="23"/>
        <v>0</v>
      </c>
      <c r="E5" s="386">
        <f t="shared" si="23"/>
        <v>0</v>
      </c>
      <c r="F5" s="386">
        <f t="shared" si="23"/>
        <v>0</v>
      </c>
      <c r="G5" s="386">
        <f t="shared" si="23"/>
        <v>0</v>
      </c>
      <c r="H5" s="386">
        <f t="shared" si="23"/>
        <v>0</v>
      </c>
      <c r="I5" s="386">
        <f t="shared" si="23"/>
        <v>0</v>
      </c>
      <c r="J5" s="386">
        <f t="shared" si="23"/>
        <v>0</v>
      </c>
      <c r="K5" s="386">
        <f t="shared" si="23"/>
        <v>0</v>
      </c>
      <c r="L5" s="386">
        <f t="shared" si="23"/>
        <v>0</v>
      </c>
      <c r="M5" s="386">
        <f t="shared" si="23"/>
        <v>0</v>
      </c>
      <c r="N5" s="386">
        <f t="shared" si="23"/>
        <v>0</v>
      </c>
      <c r="O5" s="386">
        <f t="shared" si="23"/>
        <v>0</v>
      </c>
      <c r="P5" s="386">
        <f t="shared" si="23"/>
        <v>0</v>
      </c>
      <c r="Q5" s="386">
        <f t="shared" si="23"/>
        <v>1860000</v>
      </c>
      <c r="R5" s="386">
        <f t="shared" si="23"/>
        <v>1860000</v>
      </c>
      <c r="S5" s="386">
        <f t="shared" si="23"/>
        <v>1860000</v>
      </c>
      <c r="T5" s="386">
        <f t="shared" si="23"/>
        <v>1860000</v>
      </c>
      <c r="U5" s="386">
        <f t="shared" si="23"/>
        <v>2976000</v>
      </c>
      <c r="V5" s="386">
        <f t="shared" si="23"/>
        <v>2976000</v>
      </c>
      <c r="W5" s="386">
        <f t="shared" si="23"/>
        <v>2976000</v>
      </c>
      <c r="X5" s="386">
        <f t="shared" si="23"/>
        <v>2976000</v>
      </c>
      <c r="Y5" s="386">
        <f t="shared" si="23"/>
        <v>2976000</v>
      </c>
      <c r="Z5" s="386">
        <f t="shared" si="23"/>
        <v>2976000</v>
      </c>
      <c r="AA5" s="386">
        <f t="shared" si="23"/>
        <v>2976000</v>
      </c>
      <c r="AB5" s="386">
        <f t="shared" si="23"/>
        <v>2976000</v>
      </c>
      <c r="AC5" s="386">
        <f t="shared" si="23"/>
        <v>1488000</v>
      </c>
      <c r="AD5" s="386">
        <f t="shared" si="23"/>
        <v>1488000</v>
      </c>
      <c r="AE5" s="386">
        <f t="shared" si="23"/>
        <v>1488000</v>
      </c>
      <c r="AF5" s="386">
        <f t="shared" si="23"/>
        <v>1488000</v>
      </c>
      <c r="AG5" s="386">
        <f t="shared" si="23"/>
        <v>0</v>
      </c>
      <c r="AH5" s="386">
        <f t="shared" si="23"/>
        <v>0</v>
      </c>
      <c r="AI5" s="386">
        <f t="shared" si="23"/>
        <v>0</v>
      </c>
      <c r="AJ5" s="386">
        <f t="shared" si="23"/>
        <v>0</v>
      </c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93">
        <f t="shared" si="22"/>
        <v>37200000</v>
      </c>
      <c r="AW5" s="393">
        <f>B5</f>
        <v>37200000</v>
      </c>
      <c r="AX5" s="524">
        <f>AW5-AV5</f>
        <v>0</v>
      </c>
    </row>
    <row r="6" spans="1:50">
      <c r="A6" s="384" t="str">
        <f>'F Financial'!A45</f>
        <v>Parking stalls</v>
      </c>
      <c r="B6" s="490" t="e">
        <f>'F Financial'!C45</f>
        <v>#REF!</v>
      </c>
      <c r="C6" s="386" t="e">
        <f>$B$6*C4</f>
        <v>#REF!</v>
      </c>
      <c r="D6" s="386" t="e">
        <f t="shared" ref="D6:AJ6" si="24">$B$6*D4</f>
        <v>#REF!</v>
      </c>
      <c r="E6" s="386" t="e">
        <f t="shared" si="24"/>
        <v>#REF!</v>
      </c>
      <c r="F6" s="386" t="e">
        <f t="shared" si="24"/>
        <v>#REF!</v>
      </c>
      <c r="G6" s="386" t="e">
        <f t="shared" si="24"/>
        <v>#REF!</v>
      </c>
      <c r="H6" s="386" t="e">
        <f t="shared" si="24"/>
        <v>#REF!</v>
      </c>
      <c r="I6" s="386" t="e">
        <f t="shared" si="24"/>
        <v>#REF!</v>
      </c>
      <c r="J6" s="386" t="e">
        <f t="shared" si="24"/>
        <v>#REF!</v>
      </c>
      <c r="K6" s="386" t="e">
        <f t="shared" si="24"/>
        <v>#REF!</v>
      </c>
      <c r="L6" s="386" t="e">
        <f t="shared" si="24"/>
        <v>#REF!</v>
      </c>
      <c r="M6" s="386" t="e">
        <f t="shared" si="24"/>
        <v>#REF!</v>
      </c>
      <c r="N6" s="386" t="e">
        <f t="shared" si="24"/>
        <v>#REF!</v>
      </c>
      <c r="O6" s="386" t="e">
        <f t="shared" si="24"/>
        <v>#REF!</v>
      </c>
      <c r="P6" s="386" t="e">
        <f t="shared" si="24"/>
        <v>#REF!</v>
      </c>
      <c r="Q6" s="386" t="e">
        <f t="shared" si="24"/>
        <v>#REF!</v>
      </c>
      <c r="R6" s="386" t="e">
        <f t="shared" si="24"/>
        <v>#REF!</v>
      </c>
      <c r="S6" s="386" t="e">
        <f t="shared" si="24"/>
        <v>#REF!</v>
      </c>
      <c r="T6" s="386" t="e">
        <f t="shared" si="24"/>
        <v>#REF!</v>
      </c>
      <c r="U6" s="386" t="e">
        <f t="shared" si="24"/>
        <v>#REF!</v>
      </c>
      <c r="V6" s="386" t="e">
        <f t="shared" si="24"/>
        <v>#REF!</v>
      </c>
      <c r="W6" s="386" t="e">
        <f t="shared" si="24"/>
        <v>#REF!</v>
      </c>
      <c r="X6" s="386" t="e">
        <f t="shared" si="24"/>
        <v>#REF!</v>
      </c>
      <c r="Y6" s="386" t="e">
        <f t="shared" si="24"/>
        <v>#REF!</v>
      </c>
      <c r="Z6" s="386" t="e">
        <f t="shared" si="24"/>
        <v>#REF!</v>
      </c>
      <c r="AA6" s="386" t="e">
        <f t="shared" si="24"/>
        <v>#REF!</v>
      </c>
      <c r="AB6" s="386" t="e">
        <f t="shared" si="24"/>
        <v>#REF!</v>
      </c>
      <c r="AC6" s="386" t="e">
        <f t="shared" si="24"/>
        <v>#REF!</v>
      </c>
      <c r="AD6" s="386" t="e">
        <f t="shared" si="24"/>
        <v>#REF!</v>
      </c>
      <c r="AE6" s="386" t="e">
        <f t="shared" si="24"/>
        <v>#REF!</v>
      </c>
      <c r="AF6" s="386" t="e">
        <f t="shared" si="24"/>
        <v>#REF!</v>
      </c>
      <c r="AG6" s="386" t="e">
        <f t="shared" si="24"/>
        <v>#REF!</v>
      </c>
      <c r="AH6" s="386" t="e">
        <f t="shared" si="24"/>
        <v>#REF!</v>
      </c>
      <c r="AI6" s="386" t="e">
        <f t="shared" si="24"/>
        <v>#REF!</v>
      </c>
      <c r="AJ6" s="386" t="e">
        <f t="shared" si="24"/>
        <v>#REF!</v>
      </c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93" t="e">
        <f t="shared" si="22"/>
        <v>#REF!</v>
      </c>
      <c r="AW6" s="393" t="e">
        <f>B6</f>
        <v>#REF!</v>
      </c>
      <c r="AX6" s="524" t="e">
        <f t="shared" ref="AX6:AX25" si="25">AW6-AV6</f>
        <v>#REF!</v>
      </c>
    </row>
    <row r="7" spans="1:50">
      <c r="A7" s="384" t="str">
        <f>'F Financial'!A46</f>
        <v>Hard Cost Contingency</v>
      </c>
      <c r="B7" s="490">
        <f>'F Financial'!C46</f>
        <v>3720000</v>
      </c>
      <c r="C7" s="386">
        <f t="shared" ref="C7:Q7" si="26">$B7*C$4</f>
        <v>0</v>
      </c>
      <c r="D7" s="386">
        <f t="shared" si="26"/>
        <v>0</v>
      </c>
      <c r="E7" s="386">
        <f t="shared" si="26"/>
        <v>0</v>
      </c>
      <c r="F7" s="386">
        <f t="shared" si="26"/>
        <v>0</v>
      </c>
      <c r="G7" s="386">
        <f t="shared" si="26"/>
        <v>0</v>
      </c>
      <c r="H7" s="386">
        <f t="shared" si="26"/>
        <v>0</v>
      </c>
      <c r="I7" s="386">
        <f t="shared" si="26"/>
        <v>0</v>
      </c>
      <c r="J7" s="386">
        <f t="shared" si="26"/>
        <v>0</v>
      </c>
      <c r="K7" s="386">
        <f t="shared" si="26"/>
        <v>0</v>
      </c>
      <c r="L7" s="386">
        <f t="shared" si="26"/>
        <v>0</v>
      </c>
      <c r="M7" s="386">
        <f t="shared" si="26"/>
        <v>0</v>
      </c>
      <c r="N7" s="386">
        <f t="shared" si="26"/>
        <v>0</v>
      </c>
      <c r="O7" s="386">
        <f t="shared" si="26"/>
        <v>0</v>
      </c>
      <c r="P7" s="386">
        <f t="shared" si="26"/>
        <v>0</v>
      </c>
      <c r="Q7" s="386">
        <f t="shared" si="26"/>
        <v>186000</v>
      </c>
      <c r="R7" s="386">
        <f>$B7*R$4</f>
        <v>186000</v>
      </c>
      <c r="S7" s="386">
        <f t="shared" ref="S7:AJ7" si="27">$B7*S$4</f>
        <v>186000</v>
      </c>
      <c r="T7" s="386">
        <f t="shared" si="27"/>
        <v>186000</v>
      </c>
      <c r="U7" s="386">
        <f t="shared" si="27"/>
        <v>297600</v>
      </c>
      <c r="V7" s="386">
        <f t="shared" si="27"/>
        <v>297600</v>
      </c>
      <c r="W7" s="386">
        <f t="shared" si="27"/>
        <v>297600</v>
      </c>
      <c r="X7" s="386">
        <f t="shared" si="27"/>
        <v>297600</v>
      </c>
      <c r="Y7" s="386">
        <f t="shared" si="27"/>
        <v>297600</v>
      </c>
      <c r="Z7" s="386">
        <f t="shared" si="27"/>
        <v>297600</v>
      </c>
      <c r="AA7" s="386">
        <f t="shared" si="27"/>
        <v>297600</v>
      </c>
      <c r="AB7" s="386">
        <f t="shared" si="27"/>
        <v>297600</v>
      </c>
      <c r="AC7" s="386">
        <f t="shared" si="27"/>
        <v>148800</v>
      </c>
      <c r="AD7" s="386">
        <f t="shared" si="27"/>
        <v>148800</v>
      </c>
      <c r="AE7" s="386">
        <f t="shared" si="27"/>
        <v>148800</v>
      </c>
      <c r="AF7" s="386">
        <f t="shared" si="27"/>
        <v>148800</v>
      </c>
      <c r="AG7" s="386">
        <f t="shared" si="27"/>
        <v>0</v>
      </c>
      <c r="AH7" s="386">
        <f t="shared" si="27"/>
        <v>0</v>
      </c>
      <c r="AI7" s="386">
        <f t="shared" si="27"/>
        <v>0</v>
      </c>
      <c r="AJ7" s="386">
        <f t="shared" si="27"/>
        <v>0</v>
      </c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93">
        <f t="shared" si="22"/>
        <v>3720000</v>
      </c>
      <c r="AW7" s="393">
        <f>B7</f>
        <v>3720000</v>
      </c>
      <c r="AX7" s="524">
        <f t="shared" si="25"/>
        <v>0</v>
      </c>
    </row>
    <row r="8" spans="1:50">
      <c r="A8" s="384" t="str">
        <f>'F Financial'!A47</f>
        <v>Demolition</v>
      </c>
      <c r="B8" s="490">
        <f>'F Financial'!C47</f>
        <v>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  <c r="AS8" s="386"/>
      <c r="AT8" s="386"/>
      <c r="AU8" s="386"/>
      <c r="AV8" s="393">
        <f t="shared" si="22"/>
        <v>0</v>
      </c>
      <c r="AW8" s="393">
        <f>B8</f>
        <v>0</v>
      </c>
      <c r="AX8" s="524">
        <f t="shared" si="25"/>
        <v>0</v>
      </c>
    </row>
    <row r="9" spans="1:50">
      <c r="A9" s="384" t="str">
        <f>'F Financial'!A48</f>
        <v>LAND</v>
      </c>
      <c r="B9" s="490">
        <f>'F Financial'!C48</f>
        <v>5000000</v>
      </c>
      <c r="C9" s="390"/>
      <c r="D9" s="388"/>
      <c r="E9" s="386">
        <v>400000</v>
      </c>
      <c r="F9" s="388"/>
      <c r="G9" s="454"/>
      <c r="H9" s="389"/>
      <c r="I9" s="454"/>
      <c r="J9" s="391"/>
      <c r="K9" s="388"/>
      <c r="L9" s="388"/>
      <c r="M9" s="391"/>
      <c r="N9" s="388"/>
      <c r="O9" s="388"/>
      <c r="P9" s="388"/>
      <c r="Q9" s="390">
        <f>$B9-$E9</f>
        <v>4600000</v>
      </c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9"/>
      <c r="AF9" s="389">
        <v>0</v>
      </c>
      <c r="AG9" s="454">
        <v>0</v>
      </c>
      <c r="AH9" s="454">
        <v>0</v>
      </c>
      <c r="AI9" s="454">
        <v>0</v>
      </c>
      <c r="AJ9" s="454">
        <v>0</v>
      </c>
      <c r="AK9" s="454"/>
      <c r="AL9" s="454"/>
      <c r="AM9" s="454"/>
      <c r="AN9" s="454"/>
      <c r="AO9" s="454"/>
      <c r="AP9" s="454"/>
      <c r="AQ9" s="454"/>
      <c r="AR9" s="454"/>
      <c r="AS9" s="454"/>
      <c r="AT9" s="454"/>
      <c r="AU9" s="454"/>
      <c r="AV9" s="393">
        <f t="shared" si="22"/>
        <v>5000000</v>
      </c>
      <c r="AW9" s="393">
        <f t="shared" ref="AW9:AW25" si="28">B9</f>
        <v>5000000</v>
      </c>
      <c r="AX9" s="524">
        <f t="shared" si="25"/>
        <v>0</v>
      </c>
    </row>
    <row r="10" spans="1:50">
      <c r="A10" s="384" t="str">
        <f>'F Financial'!A49</f>
        <v>Municipal Fees and Allowances</v>
      </c>
      <c r="B10" s="490">
        <f>'F Financial'!C49</f>
        <v>3000000</v>
      </c>
      <c r="C10" s="391"/>
      <c r="D10" s="388"/>
      <c r="E10" s="388"/>
      <c r="F10" s="388"/>
      <c r="G10" s="388"/>
      <c r="H10" s="389"/>
      <c r="I10" s="388"/>
      <c r="J10" s="388"/>
      <c r="K10" s="388"/>
      <c r="L10" s="388"/>
      <c r="M10" s="388"/>
      <c r="N10" s="388"/>
      <c r="O10" s="388"/>
      <c r="P10" s="388"/>
      <c r="Q10" s="386">
        <f>$B10</f>
        <v>3000000</v>
      </c>
      <c r="R10" s="388"/>
      <c r="S10" s="241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9"/>
      <c r="AF10" s="389"/>
      <c r="AG10" s="454"/>
      <c r="AH10" s="454"/>
      <c r="AI10" s="454"/>
      <c r="AJ10" s="454"/>
      <c r="AK10" s="455"/>
      <c r="AL10" s="456"/>
      <c r="AM10" s="454"/>
      <c r="AN10" s="454"/>
      <c r="AO10" s="454"/>
      <c r="AP10" s="455"/>
      <c r="AQ10" s="454"/>
      <c r="AR10" s="454"/>
      <c r="AS10" s="454"/>
      <c r="AT10" s="455"/>
      <c r="AU10" s="455"/>
      <c r="AV10" s="393">
        <f t="shared" si="22"/>
        <v>3000000</v>
      </c>
      <c r="AW10" s="393">
        <f t="shared" si="28"/>
        <v>3000000</v>
      </c>
      <c r="AX10" s="524">
        <f t="shared" si="25"/>
        <v>0</v>
      </c>
    </row>
    <row r="11" spans="1:50">
      <c r="A11" s="384" t="str">
        <f>'F Financial'!A50</f>
        <v>Infrastructure allocation</v>
      </c>
      <c r="B11" s="490">
        <f>'F Financial'!C50</f>
        <v>1000000</v>
      </c>
      <c r="C11" s="391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241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6">
        <f>$B11/2</f>
        <v>500000</v>
      </c>
      <c r="AF11" s="386">
        <f>$B11/2</f>
        <v>500000</v>
      </c>
      <c r="AG11" s="454"/>
      <c r="AH11" s="454"/>
      <c r="AI11" s="454"/>
      <c r="AJ11" s="454"/>
      <c r="AK11" s="455"/>
      <c r="AL11" s="456"/>
      <c r="AM11" s="454"/>
      <c r="AN11" s="454"/>
      <c r="AO11" s="454"/>
      <c r="AP11" s="455"/>
      <c r="AQ11" s="454"/>
      <c r="AR11" s="457"/>
      <c r="AS11" s="454"/>
      <c r="AT11" s="455"/>
      <c r="AU11" s="455"/>
      <c r="AV11" s="393">
        <f t="shared" si="22"/>
        <v>1000000</v>
      </c>
      <c r="AW11" s="393">
        <f t="shared" si="28"/>
        <v>1000000</v>
      </c>
      <c r="AX11" s="524">
        <f t="shared" si="25"/>
        <v>0</v>
      </c>
    </row>
    <row r="12" spans="1:50">
      <c r="A12" s="384" t="str">
        <f>'F Financial'!A51</f>
        <v>Legal</v>
      </c>
      <c r="B12" s="490">
        <f>'F Financial'!C51</f>
        <v>400000</v>
      </c>
      <c r="C12" s="390"/>
      <c r="D12" s="390"/>
      <c r="E12" s="390">
        <v>25000</v>
      </c>
      <c r="F12" s="390">
        <v>25000</v>
      </c>
      <c r="G12" s="390">
        <v>25000</v>
      </c>
      <c r="H12" s="390">
        <v>25000</v>
      </c>
      <c r="I12" s="390">
        <v>25000</v>
      </c>
      <c r="J12" s="390">
        <v>25000</v>
      </c>
      <c r="K12" s="390">
        <v>50000</v>
      </c>
      <c r="L12" s="390">
        <v>50000</v>
      </c>
      <c r="M12" s="390">
        <v>50000</v>
      </c>
      <c r="N12" s="390">
        <v>50000</v>
      </c>
      <c r="O12" s="390">
        <v>50000</v>
      </c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458"/>
      <c r="AL12" s="459"/>
      <c r="AM12" s="388"/>
      <c r="AN12" s="388"/>
      <c r="AO12" s="388"/>
      <c r="AP12" s="458"/>
      <c r="AQ12" s="388"/>
      <c r="AR12" s="388"/>
      <c r="AS12" s="507"/>
      <c r="AT12" s="458"/>
      <c r="AU12" s="458"/>
      <c r="AV12" s="393">
        <f t="shared" si="22"/>
        <v>400000</v>
      </c>
      <c r="AW12" s="393">
        <f t="shared" si="28"/>
        <v>400000</v>
      </c>
      <c r="AX12" s="524">
        <f t="shared" si="25"/>
        <v>0</v>
      </c>
    </row>
    <row r="13" spans="1:50">
      <c r="A13" s="384" t="str">
        <f>'F Financial'!A52</f>
        <v>Land Closing Costs/commissions</v>
      </c>
      <c r="B13" s="490">
        <f>'F Financial'!C52</f>
        <v>300000</v>
      </c>
      <c r="C13" s="390"/>
      <c r="D13" s="386"/>
      <c r="E13" s="386"/>
      <c r="F13" s="386"/>
      <c r="G13" s="240"/>
      <c r="H13" s="386">
        <f>B13</f>
        <v>300000</v>
      </c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C13" s="386"/>
      <c r="AD13" s="386"/>
      <c r="AE13" s="389"/>
      <c r="AF13" s="389"/>
      <c r="AG13" s="389"/>
      <c r="AH13" s="389"/>
      <c r="AI13" s="389"/>
      <c r="AJ13" s="389"/>
      <c r="AK13" s="460"/>
      <c r="AL13" s="461"/>
      <c r="AM13" s="389"/>
      <c r="AN13" s="389"/>
      <c r="AO13" s="389"/>
      <c r="AP13" s="460"/>
      <c r="AQ13" s="389"/>
      <c r="AR13" s="389"/>
      <c r="AS13" s="389"/>
      <c r="AT13" s="460"/>
      <c r="AU13" s="460"/>
      <c r="AV13" s="393">
        <f t="shared" si="22"/>
        <v>300000</v>
      </c>
      <c r="AW13" s="393">
        <f t="shared" si="28"/>
        <v>300000</v>
      </c>
      <c r="AX13" s="524">
        <f t="shared" si="25"/>
        <v>0</v>
      </c>
    </row>
    <row r="14" spans="1:50">
      <c r="A14" s="384" t="str">
        <f>'F Financial'!A53</f>
        <v xml:space="preserve">Design </v>
      </c>
      <c r="B14" s="490">
        <f>'F Financial'!C53</f>
        <v>1636800</v>
      </c>
      <c r="C14" s="386"/>
      <c r="D14" s="386"/>
      <c r="E14" s="386">
        <f t="shared" ref="E14:K14" si="29">$B14/10</f>
        <v>163680</v>
      </c>
      <c r="F14" s="386">
        <f t="shared" si="29"/>
        <v>163680</v>
      </c>
      <c r="G14" s="386">
        <f t="shared" si="29"/>
        <v>163680</v>
      </c>
      <c r="H14" s="386">
        <f t="shared" si="29"/>
        <v>163680</v>
      </c>
      <c r="I14" s="386">
        <f t="shared" si="29"/>
        <v>163680</v>
      </c>
      <c r="J14" s="386">
        <f t="shared" si="29"/>
        <v>163680</v>
      </c>
      <c r="K14" s="386">
        <f t="shared" si="29"/>
        <v>163680</v>
      </c>
      <c r="L14" s="386">
        <f>($B14-SUM($C14:$K14))/10</f>
        <v>49104</v>
      </c>
      <c r="M14" s="386">
        <f t="shared" ref="M14:U14" si="30">($B14-SUM($C14:$K14))/10</f>
        <v>49104</v>
      </c>
      <c r="N14" s="386">
        <f t="shared" si="30"/>
        <v>49104</v>
      </c>
      <c r="O14" s="386">
        <f t="shared" si="30"/>
        <v>49104</v>
      </c>
      <c r="P14" s="386">
        <f t="shared" si="30"/>
        <v>49104</v>
      </c>
      <c r="Q14" s="386">
        <f t="shared" si="30"/>
        <v>49104</v>
      </c>
      <c r="R14" s="386">
        <f t="shared" si="30"/>
        <v>49104</v>
      </c>
      <c r="S14" s="386">
        <f t="shared" si="30"/>
        <v>49104</v>
      </c>
      <c r="T14" s="386">
        <f t="shared" si="30"/>
        <v>49104</v>
      </c>
      <c r="U14" s="386">
        <f t="shared" si="30"/>
        <v>49104</v>
      </c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  <c r="AP14" s="386"/>
      <c r="AQ14" s="389"/>
      <c r="AR14" s="389"/>
      <c r="AS14" s="389"/>
      <c r="AT14" s="460"/>
      <c r="AU14" s="460"/>
      <c r="AV14" s="393">
        <f t="shared" si="22"/>
        <v>1636800</v>
      </c>
      <c r="AW14" s="393">
        <f t="shared" si="28"/>
        <v>1636800</v>
      </c>
      <c r="AX14" s="524">
        <f t="shared" si="25"/>
        <v>0</v>
      </c>
    </row>
    <row r="15" spans="1:50">
      <c r="A15" s="384" t="str">
        <f>'F Financial'!A54</f>
        <v>Developer Fee</v>
      </c>
      <c r="B15" s="490" t="e">
        <f>'F Financial'!C54</f>
        <v>#REF!</v>
      </c>
      <c r="C15" s="386" t="e">
        <f>$B15*C$4</f>
        <v>#REF!</v>
      </c>
      <c r="D15" s="386" t="e">
        <f t="shared" ref="D15:G15" si="31">$B15*D4</f>
        <v>#REF!</v>
      </c>
      <c r="E15" s="386" t="e">
        <f t="shared" si="31"/>
        <v>#REF!</v>
      </c>
      <c r="F15" s="386" t="e">
        <f t="shared" si="31"/>
        <v>#REF!</v>
      </c>
      <c r="G15" s="386" t="e">
        <f t="shared" si="31"/>
        <v>#REF!</v>
      </c>
      <c r="H15" s="386">
        <v>0</v>
      </c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 t="e">
        <f t="shared" ref="Q15:AE15" si="32">$B15*Q4</f>
        <v>#REF!</v>
      </c>
      <c r="R15" s="386" t="e">
        <f t="shared" si="32"/>
        <v>#REF!</v>
      </c>
      <c r="S15" s="386" t="e">
        <f t="shared" si="32"/>
        <v>#REF!</v>
      </c>
      <c r="T15" s="386" t="e">
        <f t="shared" si="32"/>
        <v>#REF!</v>
      </c>
      <c r="U15" s="386" t="e">
        <f t="shared" si="32"/>
        <v>#REF!</v>
      </c>
      <c r="V15" s="386" t="e">
        <f t="shared" si="32"/>
        <v>#REF!</v>
      </c>
      <c r="W15" s="386" t="e">
        <f t="shared" si="32"/>
        <v>#REF!</v>
      </c>
      <c r="X15" s="386" t="e">
        <f t="shared" si="32"/>
        <v>#REF!</v>
      </c>
      <c r="Y15" s="386" t="e">
        <f t="shared" si="32"/>
        <v>#REF!</v>
      </c>
      <c r="Z15" s="386" t="e">
        <f t="shared" si="32"/>
        <v>#REF!</v>
      </c>
      <c r="AA15" s="386" t="e">
        <f t="shared" si="32"/>
        <v>#REF!</v>
      </c>
      <c r="AB15" s="386" t="e">
        <f t="shared" si="32"/>
        <v>#REF!</v>
      </c>
      <c r="AC15" s="386" t="e">
        <f t="shared" si="32"/>
        <v>#REF!</v>
      </c>
      <c r="AD15" s="386" t="e">
        <f t="shared" si="32"/>
        <v>#REF!</v>
      </c>
      <c r="AE15" s="386" t="e">
        <f t="shared" si="32"/>
        <v>#REF!</v>
      </c>
      <c r="AF15" s="386" t="e">
        <f>$B15*AF4</f>
        <v>#REF!</v>
      </c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6"/>
      <c r="AR15" s="386"/>
      <c r="AS15" s="386"/>
      <c r="AT15" s="462"/>
      <c r="AU15" s="462"/>
      <c r="AV15" s="393" t="e">
        <f t="shared" si="22"/>
        <v>#REF!</v>
      </c>
      <c r="AW15" s="393" t="e">
        <f t="shared" si="28"/>
        <v>#REF!</v>
      </c>
      <c r="AX15" s="524" t="e">
        <f t="shared" si="25"/>
        <v>#REF!</v>
      </c>
    </row>
    <row r="16" spans="1:50">
      <c r="A16" s="384" t="str">
        <f>'F Financial'!A55</f>
        <v>Construction Management Fee</v>
      </c>
      <c r="B16" s="490">
        <f>'F Financial'!C55</f>
        <v>818400</v>
      </c>
      <c r="C16" s="386">
        <f>$B16*C$4</f>
        <v>0</v>
      </c>
      <c r="D16" s="386">
        <f t="shared" ref="D16:G16" si="33">$B16*D$4</f>
        <v>0</v>
      </c>
      <c r="E16" s="386">
        <f t="shared" si="33"/>
        <v>0</v>
      </c>
      <c r="F16" s="386">
        <f t="shared" si="33"/>
        <v>0</v>
      </c>
      <c r="G16" s="386">
        <f t="shared" si="33"/>
        <v>0</v>
      </c>
      <c r="H16" s="386">
        <v>0</v>
      </c>
      <c r="I16" s="386">
        <v>0</v>
      </c>
      <c r="J16" s="386">
        <v>0</v>
      </c>
      <c r="K16" s="386">
        <v>0</v>
      </c>
      <c r="L16" s="386">
        <v>0</v>
      </c>
      <c r="M16" s="386">
        <v>0</v>
      </c>
      <c r="N16" s="386">
        <v>0</v>
      </c>
      <c r="O16" s="386">
        <v>0</v>
      </c>
      <c r="P16" s="386">
        <v>0</v>
      </c>
      <c r="Q16" s="386">
        <f t="shared" ref="Q16:AE16" si="34">$B16*Q4</f>
        <v>40920</v>
      </c>
      <c r="R16" s="386">
        <f t="shared" si="34"/>
        <v>40920</v>
      </c>
      <c r="S16" s="386">
        <f t="shared" si="34"/>
        <v>40920</v>
      </c>
      <c r="T16" s="386">
        <f t="shared" si="34"/>
        <v>40920</v>
      </c>
      <c r="U16" s="386">
        <f t="shared" si="34"/>
        <v>65472</v>
      </c>
      <c r="V16" s="386">
        <f t="shared" si="34"/>
        <v>65472</v>
      </c>
      <c r="W16" s="386">
        <f t="shared" si="34"/>
        <v>65472</v>
      </c>
      <c r="X16" s="386">
        <f t="shared" si="34"/>
        <v>65472</v>
      </c>
      <c r="Y16" s="386">
        <f t="shared" si="34"/>
        <v>65472</v>
      </c>
      <c r="Z16" s="386">
        <f t="shared" si="34"/>
        <v>65472</v>
      </c>
      <c r="AA16" s="386">
        <f t="shared" si="34"/>
        <v>65472</v>
      </c>
      <c r="AB16" s="386">
        <f t="shared" si="34"/>
        <v>65472</v>
      </c>
      <c r="AC16" s="386">
        <f t="shared" si="34"/>
        <v>32736</v>
      </c>
      <c r="AD16" s="386">
        <f t="shared" si="34"/>
        <v>32736</v>
      </c>
      <c r="AE16" s="386">
        <f t="shared" si="34"/>
        <v>32736</v>
      </c>
      <c r="AF16" s="386">
        <f>$B16*AF4</f>
        <v>32736</v>
      </c>
      <c r="AG16" s="386"/>
      <c r="AH16" s="386"/>
      <c r="AI16" s="386"/>
      <c r="AJ16" s="386"/>
      <c r="AK16" s="386"/>
      <c r="AL16" s="386"/>
      <c r="AM16" s="386"/>
      <c r="AN16" s="386"/>
      <c r="AO16" s="386"/>
      <c r="AP16" s="386"/>
      <c r="AQ16" s="386"/>
      <c r="AR16" s="386"/>
      <c r="AS16" s="386"/>
      <c r="AT16" s="462"/>
      <c r="AU16" s="462"/>
      <c r="AV16" s="393">
        <f t="shared" si="22"/>
        <v>818400</v>
      </c>
      <c r="AW16" s="393">
        <f t="shared" si="28"/>
        <v>818400</v>
      </c>
      <c r="AX16" s="524">
        <f t="shared" si="25"/>
        <v>0</v>
      </c>
    </row>
    <row r="17" spans="1:50">
      <c r="A17" s="384" t="str">
        <f>'F Financial'!A56</f>
        <v>Taxes</v>
      </c>
      <c r="B17" s="490">
        <f>'F Financial'!C56</f>
        <v>500000</v>
      </c>
      <c r="C17" s="390"/>
      <c r="D17" s="386"/>
      <c r="E17" s="386"/>
      <c r="F17" s="386">
        <v>100000</v>
      </c>
      <c r="G17" s="389"/>
      <c r="H17" s="386"/>
      <c r="I17" s="386"/>
      <c r="J17" s="388"/>
      <c r="K17" s="386"/>
      <c r="L17" s="240"/>
      <c r="M17" s="386"/>
      <c r="N17" s="386">
        <v>400000</v>
      </c>
      <c r="O17" s="386"/>
      <c r="P17" s="386"/>
      <c r="Q17" s="240"/>
      <c r="R17" s="386">
        <v>400000</v>
      </c>
      <c r="S17" s="240"/>
      <c r="T17" s="386"/>
      <c r="U17" s="386"/>
      <c r="V17" s="386"/>
      <c r="W17" s="386"/>
      <c r="X17" s="240"/>
      <c r="Y17" s="386"/>
      <c r="Z17" s="386">
        <v>500000</v>
      </c>
      <c r="AA17" s="386"/>
      <c r="AB17" s="386"/>
      <c r="AC17" s="386"/>
      <c r="AD17" s="386">
        <v>600000</v>
      </c>
      <c r="AE17" s="240"/>
      <c r="AF17" s="386"/>
      <c r="AG17" s="240"/>
      <c r="AH17" s="386"/>
      <c r="AI17" s="389"/>
      <c r="AJ17" s="386"/>
      <c r="AK17" s="386"/>
      <c r="AL17" s="386"/>
      <c r="AM17" s="386"/>
      <c r="AN17" s="386"/>
      <c r="AO17" s="386"/>
      <c r="AP17" s="462"/>
      <c r="AQ17" s="386"/>
      <c r="AR17" s="386"/>
      <c r="AS17" s="386"/>
      <c r="AT17" s="462"/>
      <c r="AU17" s="462"/>
      <c r="AV17" s="393">
        <f t="shared" si="22"/>
        <v>2000000</v>
      </c>
      <c r="AW17" s="393">
        <f t="shared" si="28"/>
        <v>500000</v>
      </c>
      <c r="AX17" s="524">
        <f t="shared" si="25"/>
        <v>-1500000</v>
      </c>
    </row>
    <row r="18" spans="1:50">
      <c r="A18" s="384" t="str">
        <f>'F Financial'!A57</f>
        <v>Insurance</v>
      </c>
      <c r="B18" s="490">
        <f>'F Financial'!C57</f>
        <v>900000</v>
      </c>
      <c r="C18" s="390"/>
      <c r="D18" s="386"/>
      <c r="E18" s="386"/>
      <c r="F18" s="386"/>
      <c r="G18" s="386"/>
      <c r="H18" s="386"/>
      <c r="I18" s="386"/>
      <c r="J18" s="386"/>
      <c r="K18" s="386"/>
      <c r="L18" s="390"/>
      <c r="M18" s="386"/>
      <c r="N18" s="386"/>
      <c r="O18" s="386">
        <v>10000</v>
      </c>
      <c r="P18" s="386">
        <v>10000</v>
      </c>
      <c r="Q18" s="386">
        <f>$B18-SUM(C18:P18)</f>
        <v>880000</v>
      </c>
      <c r="R18" s="386"/>
      <c r="S18" s="386"/>
      <c r="T18" s="240"/>
      <c r="U18" s="386"/>
      <c r="V18" s="386">
        <f>$B18-SUM(C18:U18)</f>
        <v>0</v>
      </c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462"/>
      <c r="AL18" s="463"/>
      <c r="AM18" s="386"/>
      <c r="AN18" s="386"/>
      <c r="AO18" s="386"/>
      <c r="AP18" s="462"/>
      <c r="AQ18" s="386"/>
      <c r="AR18" s="386"/>
      <c r="AS18" s="386"/>
      <c r="AT18" s="462"/>
      <c r="AU18" s="462"/>
      <c r="AV18" s="393">
        <f t="shared" si="22"/>
        <v>900000</v>
      </c>
      <c r="AW18" s="393">
        <f t="shared" si="28"/>
        <v>900000</v>
      </c>
      <c r="AX18" s="524">
        <f t="shared" si="25"/>
        <v>0</v>
      </c>
    </row>
    <row r="19" spans="1:50">
      <c r="A19" s="384" t="str">
        <f>'F Financial'!A58</f>
        <v>Marketing, FFE and Preleasing</v>
      </c>
      <c r="B19" s="490">
        <f>'F Financial'!C58</f>
        <v>800000</v>
      </c>
      <c r="C19" s="390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95"/>
      <c r="Y19" s="395"/>
      <c r="Z19" s="395"/>
      <c r="AA19" s="395"/>
      <c r="AB19" s="389"/>
      <c r="AC19" s="395">
        <f t="shared" ref="AC19:AE19" si="35">$B19/4</f>
        <v>200000</v>
      </c>
      <c r="AD19" s="395">
        <f t="shared" si="35"/>
        <v>200000</v>
      </c>
      <c r="AE19" s="395">
        <f t="shared" si="35"/>
        <v>200000</v>
      </c>
      <c r="AF19" s="395">
        <f>$B19/4</f>
        <v>200000</v>
      </c>
      <c r="AG19" s="389"/>
      <c r="AH19" s="389"/>
      <c r="AI19" s="389"/>
      <c r="AJ19" s="395"/>
      <c r="AK19" s="395"/>
      <c r="AL19" s="395"/>
      <c r="AM19" s="389"/>
      <c r="AN19" s="389"/>
      <c r="AO19" s="389"/>
      <c r="AP19" s="460"/>
      <c r="AQ19" s="389"/>
      <c r="AR19" s="389"/>
      <c r="AS19" s="389"/>
      <c r="AT19" s="460"/>
      <c r="AU19" s="460"/>
      <c r="AV19" s="393">
        <f t="shared" si="22"/>
        <v>800000</v>
      </c>
      <c r="AW19" s="393">
        <f t="shared" si="28"/>
        <v>800000</v>
      </c>
      <c r="AX19" s="524">
        <f t="shared" si="25"/>
        <v>0</v>
      </c>
    </row>
    <row r="20" spans="1:50">
      <c r="A20" s="384" t="str">
        <f>'F Financial'!A59</f>
        <v>Operating Deficit</v>
      </c>
      <c r="B20" s="490">
        <f>'F Financial'!C59</f>
        <v>900000</v>
      </c>
      <c r="C20" s="390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465"/>
      <c r="AA20" s="465"/>
      <c r="AB20" s="465"/>
      <c r="AC20" s="389"/>
      <c r="AD20" s="389"/>
      <c r="AE20" s="386"/>
      <c r="AF20" s="395"/>
      <c r="AG20" s="395">
        <f>$B20/4</f>
        <v>225000</v>
      </c>
      <c r="AH20" s="395">
        <f t="shared" ref="AH20:AJ20" si="36">$B20/4</f>
        <v>225000</v>
      </c>
      <c r="AI20" s="395">
        <f t="shared" si="36"/>
        <v>225000</v>
      </c>
      <c r="AJ20" s="395">
        <f t="shared" si="36"/>
        <v>225000</v>
      </c>
      <c r="AK20" s="247"/>
      <c r="AL20" s="247"/>
      <c r="AM20" s="247"/>
      <c r="AN20" s="247"/>
      <c r="AO20" s="247"/>
      <c r="AP20" s="247"/>
      <c r="AQ20" s="389"/>
      <c r="AR20" s="390"/>
      <c r="AS20" s="395"/>
      <c r="AT20" s="395"/>
      <c r="AU20" s="395"/>
      <c r="AV20" s="393">
        <f t="shared" si="22"/>
        <v>900000</v>
      </c>
      <c r="AW20" s="393">
        <f t="shared" si="28"/>
        <v>900000</v>
      </c>
      <c r="AX20" s="524">
        <f t="shared" si="25"/>
        <v>0</v>
      </c>
    </row>
    <row r="21" spans="1:50">
      <c r="A21" s="384" t="str">
        <f>'F Financial'!A60</f>
        <v>Retail Tenant Improvements</v>
      </c>
      <c r="B21" s="490">
        <f>'F Financial'!C60</f>
        <v>11250000</v>
      </c>
      <c r="C21" s="390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9"/>
      <c r="AB21" s="389"/>
      <c r="AC21" s="395">
        <f t="shared" ref="AC21:AE21" si="37">$B21/4</f>
        <v>2812500</v>
      </c>
      <c r="AD21" s="395">
        <f t="shared" si="37"/>
        <v>2812500</v>
      </c>
      <c r="AE21" s="395">
        <f t="shared" si="37"/>
        <v>2812500</v>
      </c>
      <c r="AF21" s="395">
        <f>$B21/4</f>
        <v>2812500</v>
      </c>
      <c r="AG21" s="395"/>
      <c r="AH21" s="395"/>
      <c r="AI21" s="395"/>
      <c r="AJ21" s="465"/>
      <c r="AK21" s="466"/>
      <c r="AL21" s="461"/>
      <c r="AM21" s="389"/>
      <c r="AN21" s="389"/>
      <c r="AO21" s="389"/>
      <c r="AP21" s="460"/>
      <c r="AQ21" s="389"/>
      <c r="AR21" s="389"/>
      <c r="AS21" s="389"/>
      <c r="AT21" s="460"/>
      <c r="AU21" s="460"/>
      <c r="AV21" s="393">
        <f t="shared" si="22"/>
        <v>11250000</v>
      </c>
      <c r="AW21" s="393">
        <f t="shared" si="28"/>
        <v>11250000</v>
      </c>
      <c r="AX21" s="524">
        <f t="shared" si="25"/>
        <v>0</v>
      </c>
    </row>
    <row r="22" spans="1:50">
      <c r="A22" s="384" t="str">
        <f>'F Financial'!A61</f>
        <v>Retail brokerage</v>
      </c>
      <c r="B22" s="490">
        <f>'F Financial'!C61</f>
        <v>1800000</v>
      </c>
      <c r="C22" s="390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95">
        <f>$B22/4</f>
        <v>450000</v>
      </c>
      <c r="AG22" s="395">
        <f t="shared" ref="AG22:AI22" si="38">$B22/4</f>
        <v>450000</v>
      </c>
      <c r="AH22" s="395">
        <f t="shared" si="38"/>
        <v>450000</v>
      </c>
      <c r="AI22" s="395">
        <f t="shared" si="38"/>
        <v>450000</v>
      </c>
      <c r="AJ22" s="386"/>
      <c r="AK22" s="462"/>
      <c r="AL22" s="461"/>
      <c r="AM22" s="389"/>
      <c r="AN22" s="386"/>
      <c r="AO22" s="386"/>
      <c r="AP22" s="462"/>
      <c r="AQ22" s="386"/>
      <c r="AR22" s="386"/>
      <c r="AS22" s="386"/>
      <c r="AT22" s="462"/>
      <c r="AU22" s="462"/>
      <c r="AV22" s="393">
        <f t="shared" si="22"/>
        <v>1800000</v>
      </c>
      <c r="AW22" s="393">
        <f t="shared" si="28"/>
        <v>1800000</v>
      </c>
      <c r="AX22" s="524">
        <f t="shared" si="25"/>
        <v>0</v>
      </c>
    </row>
    <row r="23" spans="1:50">
      <c r="A23" s="384" t="str">
        <f>'F Financial'!A62</f>
        <v>Construction Loan Origination</v>
      </c>
      <c r="B23" s="490">
        <f>'F Financial'!C62</f>
        <v>1006000</v>
      </c>
      <c r="C23" s="386">
        <f>$B$23*C4</f>
        <v>0</v>
      </c>
      <c r="D23" s="386">
        <f>$B$23*D4</f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/>
      <c r="L23" s="386">
        <v>0</v>
      </c>
      <c r="M23" s="240"/>
      <c r="N23" s="386">
        <v>0</v>
      </c>
      <c r="O23" s="386">
        <v>0</v>
      </c>
      <c r="P23" s="386">
        <f>$B23</f>
        <v>1006000</v>
      </c>
      <c r="Q23" s="386"/>
      <c r="R23" s="386"/>
      <c r="S23" s="386"/>
      <c r="T23" s="386"/>
      <c r="U23" s="386"/>
      <c r="V23" s="386"/>
      <c r="W23" s="240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462"/>
      <c r="AL23" s="463"/>
      <c r="AM23" s="386"/>
      <c r="AN23" s="386"/>
      <c r="AO23" s="386"/>
      <c r="AP23" s="462"/>
      <c r="AQ23" s="386"/>
      <c r="AR23" s="386"/>
      <c r="AS23" s="386"/>
      <c r="AT23" s="462"/>
      <c r="AU23" s="462"/>
      <c r="AV23" s="393">
        <f t="shared" si="22"/>
        <v>1006000</v>
      </c>
      <c r="AW23" s="393">
        <f t="shared" si="28"/>
        <v>1006000</v>
      </c>
      <c r="AX23" s="524">
        <f t="shared" si="25"/>
        <v>0</v>
      </c>
    </row>
    <row r="24" spans="1:50">
      <c r="A24" s="384" t="str">
        <f>'F Financial'!A63</f>
        <v>Construction Interest</v>
      </c>
      <c r="B24" s="490">
        <f>'F Financial'!C63</f>
        <v>4695000</v>
      </c>
      <c r="C24" s="397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>
        <f>$B24*0.01</f>
        <v>46950</v>
      </c>
      <c r="Y24" s="386">
        <f>$B24*0.03</f>
        <v>140850</v>
      </c>
      <c r="Z24" s="386">
        <f t="shared" ref="Z24" si="39">$B24*0.05</f>
        <v>234750</v>
      </c>
      <c r="AA24" s="386">
        <f>$B24*0.06</f>
        <v>281700</v>
      </c>
      <c r="AB24" s="386">
        <f t="shared" ref="AB24" si="40">$B24*0.08</f>
        <v>375600</v>
      </c>
      <c r="AC24" s="386">
        <f>$B24*0.08</f>
        <v>375600</v>
      </c>
      <c r="AD24" s="386">
        <f>$B24*0.09</f>
        <v>422550</v>
      </c>
      <c r="AE24" s="386">
        <f>$B24*0.09</f>
        <v>422550</v>
      </c>
      <c r="AF24" s="386">
        <f t="shared" ref="AF24:AI24" si="41">$B24*0.1</f>
        <v>469500</v>
      </c>
      <c r="AG24" s="386">
        <f t="shared" si="41"/>
        <v>469500</v>
      </c>
      <c r="AH24" s="386">
        <f t="shared" si="41"/>
        <v>469500</v>
      </c>
      <c r="AI24" s="386">
        <f t="shared" si="41"/>
        <v>469500</v>
      </c>
      <c r="AJ24" s="386">
        <f>$B24*0.11</f>
        <v>516450</v>
      </c>
      <c r="AK24" s="386"/>
      <c r="AL24" s="386"/>
      <c r="AM24" s="386"/>
      <c r="AN24" s="386"/>
      <c r="AO24" s="386"/>
      <c r="AP24" s="386"/>
      <c r="AQ24" s="386"/>
      <c r="AR24" s="386"/>
      <c r="AS24" s="240"/>
      <c r="AT24" s="386"/>
      <c r="AU24" s="386"/>
      <c r="AV24" s="393">
        <f t="shared" si="22"/>
        <v>4695000</v>
      </c>
      <c r="AW24" s="393">
        <f t="shared" si="28"/>
        <v>4695000</v>
      </c>
      <c r="AX24" s="524">
        <f t="shared" si="25"/>
        <v>0</v>
      </c>
    </row>
    <row r="25" spans="1:50" ht="26.25" customHeight="1" thickBot="1">
      <c r="A25" s="467" t="str">
        <f>'F Financial'!A64</f>
        <v>Additional Contingency</v>
      </c>
      <c r="B25" s="400">
        <f>'F Financial'!C64</f>
        <v>2000000</v>
      </c>
      <c r="C25" s="399">
        <v>0</v>
      </c>
      <c r="D25" s="399">
        <v>0</v>
      </c>
      <c r="E25" s="399">
        <v>0</v>
      </c>
      <c r="F25" s="399"/>
      <c r="G25" s="399">
        <v>0</v>
      </c>
      <c r="H25" s="399">
        <v>0</v>
      </c>
      <c r="I25" s="399">
        <v>0</v>
      </c>
      <c r="J25" s="399">
        <v>0</v>
      </c>
      <c r="K25" s="399">
        <v>0</v>
      </c>
      <c r="L25" s="399"/>
      <c r="M25" s="399"/>
      <c r="N25" s="399"/>
      <c r="O25" s="399"/>
      <c r="P25" s="399"/>
      <c r="Q25" s="399">
        <f t="shared" ref="Q25:AE25" si="42">$B25*Q4</f>
        <v>100000</v>
      </c>
      <c r="R25" s="399">
        <f t="shared" si="42"/>
        <v>100000</v>
      </c>
      <c r="S25" s="399">
        <f t="shared" si="42"/>
        <v>100000</v>
      </c>
      <c r="T25" s="399">
        <f t="shared" si="42"/>
        <v>100000</v>
      </c>
      <c r="U25" s="399">
        <f t="shared" si="42"/>
        <v>160000</v>
      </c>
      <c r="V25" s="399">
        <f t="shared" si="42"/>
        <v>160000</v>
      </c>
      <c r="W25" s="399">
        <f t="shared" si="42"/>
        <v>160000</v>
      </c>
      <c r="X25" s="399">
        <f t="shared" si="42"/>
        <v>160000</v>
      </c>
      <c r="Y25" s="399">
        <f t="shared" si="42"/>
        <v>160000</v>
      </c>
      <c r="Z25" s="399">
        <f t="shared" si="42"/>
        <v>160000</v>
      </c>
      <c r="AA25" s="399">
        <f t="shared" si="42"/>
        <v>160000</v>
      </c>
      <c r="AB25" s="399">
        <f t="shared" si="42"/>
        <v>160000</v>
      </c>
      <c r="AC25" s="399">
        <f t="shared" si="42"/>
        <v>80000</v>
      </c>
      <c r="AD25" s="399">
        <f t="shared" si="42"/>
        <v>80000</v>
      </c>
      <c r="AE25" s="399">
        <f t="shared" si="42"/>
        <v>80000</v>
      </c>
      <c r="AF25" s="399">
        <f>$B25*AF4</f>
        <v>80000</v>
      </c>
      <c r="AG25" s="399"/>
      <c r="AH25" s="399"/>
      <c r="AI25" s="399"/>
      <c r="AJ25" s="399"/>
      <c r="AK25" s="399"/>
      <c r="AL25" s="399"/>
      <c r="AM25" s="468"/>
      <c r="AN25" s="468"/>
      <c r="AO25" s="468"/>
      <c r="AP25" s="468"/>
      <c r="AQ25" s="469"/>
      <c r="AR25" s="469"/>
      <c r="AS25" s="510"/>
      <c r="AT25" s="250"/>
      <c r="AU25" s="250"/>
      <c r="AV25" s="525">
        <f t="shared" si="22"/>
        <v>2000000</v>
      </c>
      <c r="AW25" s="393">
        <f t="shared" si="28"/>
        <v>2000000</v>
      </c>
      <c r="AX25" s="524">
        <f t="shared" si="25"/>
        <v>0</v>
      </c>
    </row>
    <row r="26" spans="1:50" ht="14.25" thickTop="1" thickBot="1">
      <c r="A26" s="167">
        <f>'Courthouse Financial '!A65</f>
        <v>0.6</v>
      </c>
      <c r="B26" s="168" t="e">
        <f t="shared" ref="B26:AJ26" si="43">SUM(B5:B25)</f>
        <v>#REF!</v>
      </c>
      <c r="C26" s="164" t="e">
        <f t="shared" si="43"/>
        <v>#REF!</v>
      </c>
      <c r="D26" s="164" t="e">
        <f t="shared" si="43"/>
        <v>#REF!</v>
      </c>
      <c r="E26" s="164" t="e">
        <f t="shared" si="43"/>
        <v>#REF!</v>
      </c>
      <c r="F26" s="164" t="e">
        <f t="shared" si="43"/>
        <v>#REF!</v>
      </c>
      <c r="G26" s="164" t="e">
        <f t="shared" si="43"/>
        <v>#REF!</v>
      </c>
      <c r="H26" s="164" t="e">
        <f t="shared" si="43"/>
        <v>#REF!</v>
      </c>
      <c r="I26" s="164" t="e">
        <f t="shared" si="43"/>
        <v>#REF!</v>
      </c>
      <c r="J26" s="164" t="e">
        <f t="shared" si="43"/>
        <v>#REF!</v>
      </c>
      <c r="K26" s="164" t="e">
        <f t="shared" si="43"/>
        <v>#REF!</v>
      </c>
      <c r="L26" s="164" t="e">
        <f t="shared" si="43"/>
        <v>#REF!</v>
      </c>
      <c r="M26" s="164" t="e">
        <f t="shared" si="43"/>
        <v>#REF!</v>
      </c>
      <c r="N26" s="164" t="e">
        <f t="shared" si="43"/>
        <v>#REF!</v>
      </c>
      <c r="O26" s="164" t="e">
        <f t="shared" si="43"/>
        <v>#REF!</v>
      </c>
      <c r="P26" s="164" t="e">
        <f t="shared" si="43"/>
        <v>#REF!</v>
      </c>
      <c r="Q26" s="164" t="e">
        <f t="shared" si="43"/>
        <v>#REF!</v>
      </c>
      <c r="R26" s="164" t="e">
        <f t="shared" si="43"/>
        <v>#REF!</v>
      </c>
      <c r="S26" s="164" t="e">
        <f t="shared" si="43"/>
        <v>#REF!</v>
      </c>
      <c r="T26" s="164" t="e">
        <f t="shared" si="43"/>
        <v>#REF!</v>
      </c>
      <c r="U26" s="164" t="e">
        <f t="shared" si="43"/>
        <v>#REF!</v>
      </c>
      <c r="V26" s="164" t="e">
        <f t="shared" si="43"/>
        <v>#REF!</v>
      </c>
      <c r="W26" s="164" t="e">
        <f t="shared" si="43"/>
        <v>#REF!</v>
      </c>
      <c r="X26" s="164" t="e">
        <f t="shared" si="43"/>
        <v>#REF!</v>
      </c>
      <c r="Y26" s="164" t="e">
        <f t="shared" si="43"/>
        <v>#REF!</v>
      </c>
      <c r="Z26" s="164" t="e">
        <f t="shared" si="43"/>
        <v>#REF!</v>
      </c>
      <c r="AA26" s="164" t="e">
        <f t="shared" si="43"/>
        <v>#REF!</v>
      </c>
      <c r="AB26" s="164" t="e">
        <f t="shared" si="43"/>
        <v>#REF!</v>
      </c>
      <c r="AC26" s="164" t="e">
        <f t="shared" si="43"/>
        <v>#REF!</v>
      </c>
      <c r="AD26" s="164" t="e">
        <f t="shared" si="43"/>
        <v>#REF!</v>
      </c>
      <c r="AE26" s="164" t="e">
        <f t="shared" si="43"/>
        <v>#REF!</v>
      </c>
      <c r="AF26" s="164" t="e">
        <f t="shared" si="43"/>
        <v>#REF!</v>
      </c>
      <c r="AG26" s="164" t="e">
        <f t="shared" si="43"/>
        <v>#REF!</v>
      </c>
      <c r="AH26" s="164" t="e">
        <f t="shared" si="43"/>
        <v>#REF!</v>
      </c>
      <c r="AI26" s="164" t="e">
        <f t="shared" si="43"/>
        <v>#REF!</v>
      </c>
      <c r="AJ26" s="164" t="e">
        <f t="shared" si="43"/>
        <v>#REF!</v>
      </c>
      <c r="AK26" s="164"/>
      <c r="AL26" s="164"/>
      <c r="AM26" s="164"/>
      <c r="AN26" s="164"/>
      <c r="AO26" s="164"/>
      <c r="AP26" s="164"/>
      <c r="AQ26" s="164"/>
      <c r="AR26" s="169"/>
      <c r="AS26" s="170"/>
      <c r="AT26" s="171"/>
      <c r="AU26" s="171"/>
      <c r="AV26" s="172" t="e">
        <f>SUM(AV5:AV25)</f>
        <v>#REF!</v>
      </c>
      <c r="AW26" s="150" t="e">
        <f>SUM(AW5:AW25)</f>
        <v>#REF!</v>
      </c>
      <c r="AX26" s="145"/>
    </row>
    <row r="27" spans="1:50">
      <c r="A27" s="147" t="s">
        <v>261</v>
      </c>
      <c r="B27" s="175" t="e">
        <f>'F Financial'!B73</f>
        <v>#REF!</v>
      </c>
      <c r="C27" s="526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70"/>
      <c r="AW27" s="420"/>
      <c r="AX27" s="145"/>
    </row>
    <row r="28" spans="1:50" ht="13.5" thickBot="1">
      <c r="A28" s="401" t="s">
        <v>262</v>
      </c>
      <c r="B28" s="491" t="e">
        <f>B26+B27</f>
        <v>#REF!</v>
      </c>
      <c r="C28" s="492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2"/>
      <c r="AA28" s="412"/>
      <c r="AB28" s="412"/>
      <c r="AC28" s="412"/>
      <c r="AD28" s="412"/>
      <c r="AE28" s="412"/>
      <c r="AF28" s="412"/>
      <c r="AG28" s="412"/>
      <c r="AH28" s="414"/>
      <c r="AI28" s="414"/>
      <c r="AJ28" s="414"/>
      <c r="AK28" s="414"/>
      <c r="AL28" s="414"/>
      <c r="AM28" s="414"/>
      <c r="AN28" s="414"/>
      <c r="AO28" s="414"/>
      <c r="AP28" s="414"/>
      <c r="AQ28" s="414"/>
      <c r="AR28" s="414"/>
      <c r="AS28" s="414"/>
      <c r="AT28" s="414"/>
      <c r="AU28" s="414"/>
      <c r="AV28" s="414"/>
      <c r="AW28" s="414"/>
      <c r="AX28" s="403"/>
    </row>
    <row r="29" spans="1:50">
      <c r="A29" s="404" t="s">
        <v>263</v>
      </c>
      <c r="B29" s="405" t="e">
        <f>SUM(C29:AS29)</f>
        <v>#REF!</v>
      </c>
      <c r="C29" s="387" t="e">
        <f>C26</f>
        <v>#REF!</v>
      </c>
      <c r="D29" s="387" t="e">
        <f t="shared" ref="D29:AJ29" si="44">IF(C30+D26&lt;=$B$30,D26,($B$30-C30))</f>
        <v>#REF!</v>
      </c>
      <c r="E29" s="387" t="e">
        <f t="shared" si="44"/>
        <v>#REF!</v>
      </c>
      <c r="F29" s="387" t="e">
        <f t="shared" si="44"/>
        <v>#REF!</v>
      </c>
      <c r="G29" s="387" t="e">
        <f t="shared" si="44"/>
        <v>#REF!</v>
      </c>
      <c r="H29" s="387" t="e">
        <f t="shared" si="44"/>
        <v>#REF!</v>
      </c>
      <c r="I29" s="387" t="e">
        <f t="shared" si="44"/>
        <v>#REF!</v>
      </c>
      <c r="J29" s="387" t="e">
        <f t="shared" si="44"/>
        <v>#REF!</v>
      </c>
      <c r="K29" s="387" t="e">
        <f t="shared" si="44"/>
        <v>#REF!</v>
      </c>
      <c r="L29" s="387" t="e">
        <f t="shared" si="44"/>
        <v>#REF!</v>
      </c>
      <c r="M29" s="387" t="e">
        <f t="shared" si="44"/>
        <v>#REF!</v>
      </c>
      <c r="N29" s="387" t="e">
        <f t="shared" si="44"/>
        <v>#REF!</v>
      </c>
      <c r="O29" s="387" t="e">
        <f t="shared" si="44"/>
        <v>#REF!</v>
      </c>
      <c r="P29" s="387" t="e">
        <f t="shared" si="44"/>
        <v>#REF!</v>
      </c>
      <c r="Q29" s="387" t="e">
        <f t="shared" si="44"/>
        <v>#REF!</v>
      </c>
      <c r="R29" s="387" t="e">
        <f t="shared" si="44"/>
        <v>#REF!</v>
      </c>
      <c r="S29" s="387" t="e">
        <f t="shared" si="44"/>
        <v>#REF!</v>
      </c>
      <c r="T29" s="387" t="e">
        <f t="shared" si="44"/>
        <v>#REF!</v>
      </c>
      <c r="U29" s="387" t="e">
        <f t="shared" si="44"/>
        <v>#REF!</v>
      </c>
      <c r="V29" s="387" t="e">
        <f t="shared" si="44"/>
        <v>#REF!</v>
      </c>
      <c r="W29" s="387" t="e">
        <f t="shared" si="44"/>
        <v>#REF!</v>
      </c>
      <c r="X29" s="387" t="e">
        <f t="shared" si="44"/>
        <v>#REF!</v>
      </c>
      <c r="Y29" s="387" t="e">
        <f t="shared" si="44"/>
        <v>#REF!</v>
      </c>
      <c r="Z29" s="387" t="e">
        <f t="shared" si="44"/>
        <v>#REF!</v>
      </c>
      <c r="AA29" s="387" t="e">
        <f t="shared" si="44"/>
        <v>#REF!</v>
      </c>
      <c r="AB29" s="387" t="e">
        <f t="shared" si="44"/>
        <v>#REF!</v>
      </c>
      <c r="AC29" s="387" t="e">
        <f t="shared" si="44"/>
        <v>#REF!</v>
      </c>
      <c r="AD29" s="387" t="e">
        <f t="shared" si="44"/>
        <v>#REF!</v>
      </c>
      <c r="AE29" s="387" t="e">
        <f t="shared" si="44"/>
        <v>#REF!</v>
      </c>
      <c r="AF29" s="387" t="e">
        <f t="shared" si="44"/>
        <v>#REF!</v>
      </c>
      <c r="AG29" s="387" t="e">
        <f t="shared" si="44"/>
        <v>#REF!</v>
      </c>
      <c r="AH29" s="387" t="e">
        <f t="shared" si="44"/>
        <v>#REF!</v>
      </c>
      <c r="AI29" s="387" t="e">
        <f t="shared" si="44"/>
        <v>#REF!</v>
      </c>
      <c r="AJ29" s="387" t="e">
        <f t="shared" si="44"/>
        <v>#REF!</v>
      </c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406"/>
      <c r="AW29" s="406"/>
      <c r="AX29" s="406"/>
    </row>
    <row r="30" spans="1:50" ht="13.5" thickBot="1">
      <c r="A30" s="384" t="s">
        <v>264</v>
      </c>
      <c r="B30" s="151" t="e">
        <f>'F Financial'!B76</f>
        <v>#REF!</v>
      </c>
      <c r="C30" s="387" t="e">
        <f>C29</f>
        <v>#REF!</v>
      </c>
      <c r="D30" s="387" t="e">
        <f>IF(SUM($C$29:D29)&lt;=$B30,SUM($C$29:D29),0)</f>
        <v>#REF!</v>
      </c>
      <c r="E30" s="387" t="e">
        <f>IF(SUM($C$29:E29)&lt;=$B30,SUM($C$29:E29),0)</f>
        <v>#REF!</v>
      </c>
      <c r="F30" s="387" t="e">
        <f>IF(SUM($C$29:F29)&lt;=$B30,SUM($C$29:F29),0)</f>
        <v>#REF!</v>
      </c>
      <c r="G30" s="387" t="e">
        <f>IF(SUM($C$29:G29)&lt;=$B30,SUM($C$29:G29),0)</f>
        <v>#REF!</v>
      </c>
      <c r="H30" s="387" t="e">
        <f>IF(SUM($C$29:H29)&lt;=$B30,SUM($C$29:H29),0)</f>
        <v>#REF!</v>
      </c>
      <c r="I30" s="387" t="e">
        <f>IF(SUM($C$29:I29)&lt;=$B30,SUM($C$29:I29),0)</f>
        <v>#REF!</v>
      </c>
      <c r="J30" s="387" t="e">
        <f>IF(SUM($C$29:J29)&lt;=$B30,SUM($C$29:J29),0)</f>
        <v>#REF!</v>
      </c>
      <c r="K30" s="387" t="e">
        <f>IF(SUM($C$29:K29)&lt;=$B30,SUM($C$29:K29),0)</f>
        <v>#REF!</v>
      </c>
      <c r="L30" s="387" t="e">
        <f>IF(SUM($C$29:L29)&lt;=$B30,SUM($C$29:L29),0)</f>
        <v>#REF!</v>
      </c>
      <c r="M30" s="387" t="e">
        <f>IF(SUM($C$29:M29)&lt;=$B30,SUM($C$29:M29),0)</f>
        <v>#REF!</v>
      </c>
      <c r="N30" s="387" t="e">
        <f>IF(SUM($C$29:N29)&lt;=$B30,SUM($C$29:N29),0)</f>
        <v>#REF!</v>
      </c>
      <c r="O30" s="387" t="e">
        <f>IF(SUM($C$29:O29)&lt;=$B30,SUM($C$29:O29),0)</f>
        <v>#REF!</v>
      </c>
      <c r="P30" s="387" t="e">
        <f>IF(SUM($C$29:P29)&lt;=$B30,SUM($C$29:P29),0)</f>
        <v>#REF!</v>
      </c>
      <c r="Q30" s="387" t="e">
        <f>IF(SUM($C$29:Q29)&lt;=$B30,SUM($C$29:Q29),0)</f>
        <v>#REF!</v>
      </c>
      <c r="R30" s="387" t="e">
        <f>IF(SUM($C$29:R29)&lt;=$B30,SUM($C$29:R29),0)</f>
        <v>#REF!</v>
      </c>
      <c r="S30" s="387" t="e">
        <f>IF(SUM($C$29:S29)&lt;=$B30,SUM($C$29:S29),0)</f>
        <v>#REF!</v>
      </c>
      <c r="T30" s="387" t="e">
        <f>IF(SUM($C$29:T29)&lt;=$B30,SUM($C$29:T29),0)</f>
        <v>#REF!</v>
      </c>
      <c r="U30" s="387" t="e">
        <f>IF(SUM($C$29:U29)&lt;=$B30,SUM($C$29:U29),0)</f>
        <v>#REF!</v>
      </c>
      <c r="V30" s="387" t="e">
        <f>IF(SUM($C$29:V29)&lt;=$B30,SUM($C$29:V29),0)</f>
        <v>#REF!</v>
      </c>
      <c r="W30" s="387" t="e">
        <f>IF(SUM($C$29:W29)&lt;=$B30,SUM($C$29:W29),0)</f>
        <v>#REF!</v>
      </c>
      <c r="X30" s="387" t="e">
        <f>IF(SUM($C$29:X29)&lt;=$B30,SUM($C$29:X29),0)</f>
        <v>#REF!</v>
      </c>
      <c r="Y30" s="387" t="e">
        <f>IF(SUM($C$29:Y29)&lt;=$B30,SUM($C$29:Y29),0)</f>
        <v>#REF!</v>
      </c>
      <c r="Z30" s="387" t="e">
        <f>IF(SUM($C$29:Z29)&lt;=$B30,SUM($C$29:Z29),0)</f>
        <v>#REF!</v>
      </c>
      <c r="AA30" s="387" t="e">
        <f>IF(SUM($C$29:AA29)&lt;=$B30,SUM($C$29:AA29),0)</f>
        <v>#REF!</v>
      </c>
      <c r="AB30" s="387" t="e">
        <f>IF(SUM($C$29:AB29)&lt;=$B30,SUM($C$29:AB29),0)</f>
        <v>#REF!</v>
      </c>
      <c r="AC30" s="387" t="e">
        <f>IF(SUM($C$29:AC29)&lt;=$B30,SUM($C$29:AC29),0)</f>
        <v>#REF!</v>
      </c>
      <c r="AD30" s="387" t="e">
        <f>IF(SUM($C$29:AD29)&lt;=$B30,SUM($C$29:AD29),0)</f>
        <v>#REF!</v>
      </c>
      <c r="AE30" s="387" t="e">
        <f>IF(SUM($C$29:AE29)&lt;=$B30,SUM($C$29:AE29),0)</f>
        <v>#REF!</v>
      </c>
      <c r="AF30" s="387" t="e">
        <f>IF(SUM($C$29:AF29)&lt;=$B30,SUM($C$29:AF29),0)</f>
        <v>#REF!</v>
      </c>
      <c r="AG30" s="387" t="e">
        <f>IF(SUM($C$29:AG29)&lt;=$B30,SUM($C$29:AG29),0)</f>
        <v>#REF!</v>
      </c>
      <c r="AH30" s="387" t="e">
        <f>IF(SUM($C$29:AH29)&lt;=$B30,SUM($C$29:AH29),0)</f>
        <v>#REF!</v>
      </c>
      <c r="AI30" s="387" t="e">
        <f>IF(SUM($C$29:AI29)&lt;=$B30,SUM($C$29:AI29),0)</f>
        <v>#REF!</v>
      </c>
      <c r="AJ30" s="387" t="e">
        <f>IF(SUM($C$29:AJ29)&lt;=$B30,SUM($C$29:AJ29),0)</f>
        <v>#REF!</v>
      </c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406"/>
      <c r="AW30" s="406"/>
      <c r="AX30" s="406"/>
    </row>
    <row r="31" spans="1:50">
      <c r="A31" s="152" t="s">
        <v>265</v>
      </c>
      <c r="B31" s="153" t="e">
        <f>'F Financial'!B75</f>
        <v>#REF!</v>
      </c>
      <c r="C31" s="407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408"/>
      <c r="AQ31" s="408"/>
      <c r="AR31" s="408"/>
      <c r="AS31" s="408"/>
      <c r="AT31" s="408"/>
      <c r="AU31" s="408"/>
      <c r="AV31" s="407"/>
      <c r="AW31" s="407"/>
      <c r="AX31" s="406"/>
    </row>
    <row r="32" spans="1:50" ht="13.5" thickBot="1">
      <c r="A32" s="409" t="s">
        <v>266</v>
      </c>
      <c r="B32" s="410" t="e">
        <f>PMT(0.045,30,(B31))</f>
        <v>#REF!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8"/>
      <c r="AT32" s="408"/>
      <c r="AU32" s="408"/>
      <c r="AV32" s="407"/>
      <c r="AW32" s="407"/>
      <c r="AX32" s="406"/>
    </row>
    <row r="33" spans="1:50">
      <c r="A33" s="154" t="s">
        <v>267</v>
      </c>
      <c r="B33" s="155">
        <f>SUM(C33:AV33)</f>
        <v>0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258"/>
      <c r="AT33" s="258"/>
      <c r="AU33" s="258"/>
      <c r="AV33" s="412"/>
      <c r="AW33" s="407"/>
      <c r="AX33" s="406"/>
    </row>
    <row r="34" spans="1:50">
      <c r="A34" s="411" t="s">
        <v>268</v>
      </c>
      <c r="B34" s="155"/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258"/>
      <c r="AT34" s="258"/>
      <c r="AU34" s="258"/>
      <c r="AV34" s="412"/>
      <c r="AW34" s="408"/>
      <c r="AX34" s="406"/>
    </row>
    <row r="35" spans="1:50">
      <c r="A35" s="404" t="s">
        <v>269</v>
      </c>
      <c r="B35" s="405" t="e">
        <f>'F Financial'!B83+'F Financial'!B84</f>
        <v>#REF!</v>
      </c>
      <c r="C35" s="412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72"/>
      <c r="AH35" s="413"/>
      <c r="AI35" s="413"/>
      <c r="AJ35" s="413"/>
      <c r="AK35" s="413"/>
      <c r="AL35" s="413"/>
      <c r="AM35" s="413"/>
      <c r="AN35" s="413"/>
      <c r="AO35" s="413"/>
      <c r="AP35" s="413"/>
      <c r="AQ35" s="413"/>
      <c r="AR35" s="413"/>
      <c r="AS35" s="413"/>
      <c r="AT35" s="413"/>
      <c r="AU35" s="413"/>
      <c r="AV35" s="414"/>
      <c r="AW35" s="415"/>
      <c r="AX35" s="416"/>
    </row>
    <row r="36" spans="1:50">
      <c r="A36" s="404" t="s">
        <v>270</v>
      </c>
      <c r="B36" s="233" t="e">
        <f>SUM(C36:AU36)</f>
        <v>#REF!</v>
      </c>
      <c r="C36" s="417" t="e">
        <f t="shared" ref="C36:AI36" si="45">-C29</f>
        <v>#REF!</v>
      </c>
      <c r="D36" s="417" t="e">
        <f t="shared" si="45"/>
        <v>#REF!</v>
      </c>
      <c r="E36" s="417" t="e">
        <f t="shared" si="45"/>
        <v>#REF!</v>
      </c>
      <c r="F36" s="417" t="e">
        <f t="shared" si="45"/>
        <v>#REF!</v>
      </c>
      <c r="G36" s="417" t="e">
        <f t="shared" si="45"/>
        <v>#REF!</v>
      </c>
      <c r="H36" s="417" t="e">
        <f t="shared" si="45"/>
        <v>#REF!</v>
      </c>
      <c r="I36" s="417" t="e">
        <f t="shared" si="45"/>
        <v>#REF!</v>
      </c>
      <c r="J36" s="417" t="e">
        <f t="shared" si="45"/>
        <v>#REF!</v>
      </c>
      <c r="K36" s="417" t="e">
        <f t="shared" si="45"/>
        <v>#REF!</v>
      </c>
      <c r="L36" s="417" t="e">
        <f t="shared" si="45"/>
        <v>#REF!</v>
      </c>
      <c r="M36" s="417" t="e">
        <f t="shared" si="45"/>
        <v>#REF!</v>
      </c>
      <c r="N36" s="417" t="e">
        <f t="shared" si="45"/>
        <v>#REF!</v>
      </c>
      <c r="O36" s="417" t="e">
        <f t="shared" si="45"/>
        <v>#REF!</v>
      </c>
      <c r="P36" s="417" t="e">
        <f t="shared" si="45"/>
        <v>#REF!</v>
      </c>
      <c r="Q36" s="417" t="e">
        <f t="shared" si="45"/>
        <v>#REF!</v>
      </c>
      <c r="R36" s="417" t="e">
        <f t="shared" si="45"/>
        <v>#REF!</v>
      </c>
      <c r="S36" s="417" t="e">
        <f t="shared" si="45"/>
        <v>#REF!</v>
      </c>
      <c r="T36" s="417" t="e">
        <f t="shared" si="45"/>
        <v>#REF!</v>
      </c>
      <c r="U36" s="417" t="e">
        <f t="shared" si="45"/>
        <v>#REF!</v>
      </c>
      <c r="V36" s="417" t="e">
        <f t="shared" si="45"/>
        <v>#REF!</v>
      </c>
      <c r="W36" s="417" t="e">
        <f t="shared" si="45"/>
        <v>#REF!</v>
      </c>
      <c r="X36" s="417" t="e">
        <f t="shared" si="45"/>
        <v>#REF!</v>
      </c>
      <c r="Y36" s="417" t="e">
        <f t="shared" si="45"/>
        <v>#REF!</v>
      </c>
      <c r="Z36" s="417" t="e">
        <f t="shared" si="45"/>
        <v>#REF!</v>
      </c>
      <c r="AA36" s="417" t="e">
        <f t="shared" si="45"/>
        <v>#REF!</v>
      </c>
      <c r="AB36" s="417" t="e">
        <f t="shared" si="45"/>
        <v>#REF!</v>
      </c>
      <c r="AC36" s="417" t="e">
        <f t="shared" si="45"/>
        <v>#REF!</v>
      </c>
      <c r="AD36" s="417" t="e">
        <f t="shared" si="45"/>
        <v>#REF!</v>
      </c>
      <c r="AE36" s="417" t="e">
        <f t="shared" si="45"/>
        <v>#REF!</v>
      </c>
      <c r="AF36" s="417" t="e">
        <f t="shared" si="45"/>
        <v>#REF!</v>
      </c>
      <c r="AG36" s="417" t="e">
        <f t="shared" si="45"/>
        <v>#REF!</v>
      </c>
      <c r="AH36" s="417" t="e">
        <f t="shared" si="45"/>
        <v>#REF!</v>
      </c>
      <c r="AI36" s="417" t="e">
        <f t="shared" si="45"/>
        <v>#REF!</v>
      </c>
      <c r="AJ36" s="160" t="e">
        <f>B35</f>
        <v>#REF!</v>
      </c>
      <c r="AK36" s="157"/>
      <c r="AL36" s="158"/>
      <c r="AM36" s="158"/>
      <c r="AN36" s="158"/>
      <c r="AO36" s="158"/>
      <c r="AP36" s="158"/>
      <c r="AQ36" s="158"/>
      <c r="AR36" s="158"/>
      <c r="AS36" s="159"/>
      <c r="AT36" s="159"/>
      <c r="AU36" s="159"/>
      <c r="AV36" s="394"/>
      <c r="AW36" s="387"/>
      <c r="AX36" s="387"/>
    </row>
    <row r="37" spans="1:50">
      <c r="A37" s="404" t="s">
        <v>298</v>
      </c>
      <c r="B37" s="231" t="e">
        <f>IF(B36&lt;0,0,IRR(C36:AIU36))</f>
        <v>#REF!</v>
      </c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414"/>
      <c r="AW37" s="420"/>
      <c r="AX37" s="421"/>
    </row>
    <row r="38" spans="1:50">
      <c r="A38" s="394" t="s">
        <v>272</v>
      </c>
      <c r="B38" s="232" t="e">
        <f>POWER((1+B37),4)-1</f>
        <v>#REF!</v>
      </c>
      <c r="C38" s="414"/>
      <c r="D38" s="414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24"/>
      <c r="Q38" s="423"/>
      <c r="R38" s="423"/>
      <c r="S38" s="423"/>
      <c r="T38" s="423"/>
      <c r="U38" s="423"/>
      <c r="V38" s="424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423"/>
      <c r="AJ38" s="423"/>
      <c r="AK38" s="138"/>
      <c r="AL38" s="138"/>
      <c r="AM38" s="138"/>
      <c r="AN38" s="138"/>
      <c r="AO38" s="138"/>
      <c r="AP38" s="138"/>
      <c r="AQ38" s="138"/>
      <c r="AR38" s="162"/>
      <c r="AS38" s="162"/>
      <c r="AT38" s="138"/>
      <c r="AU38" s="138"/>
      <c r="AV38" s="423"/>
      <c r="AW38" s="423"/>
      <c r="AX38" s="425"/>
    </row>
    <row r="39" spans="1:50">
      <c r="A39" s="426" t="s">
        <v>273</v>
      </c>
      <c r="B39" s="156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414"/>
      <c r="AW39" s="423"/>
      <c r="AX39" s="394"/>
    </row>
    <row r="40" spans="1:50">
      <c r="A40" s="404" t="s">
        <v>274</v>
      </c>
      <c r="B40" s="233" t="e">
        <f>'F Financial'!B83-B27</f>
        <v>#REF!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08"/>
      <c r="N40" s="414"/>
      <c r="O40" s="414"/>
      <c r="P40" s="414"/>
      <c r="Q40" s="414"/>
      <c r="R40" s="414"/>
      <c r="S40" s="408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414"/>
      <c r="AW40" s="414"/>
      <c r="AX40" s="394"/>
    </row>
    <row r="41" spans="1:50">
      <c r="A41" s="404" t="s">
        <v>275</v>
      </c>
      <c r="B41" s="233" t="e">
        <f>SUM(C41:AU41)</f>
        <v>#REF!</v>
      </c>
      <c r="C41" s="387" t="e">
        <f>-C26</f>
        <v>#REF!</v>
      </c>
      <c r="D41" s="387" t="e">
        <f t="shared" ref="D41:AI41" si="46">-D26</f>
        <v>#REF!</v>
      </c>
      <c r="E41" s="387" t="e">
        <f t="shared" si="46"/>
        <v>#REF!</v>
      </c>
      <c r="F41" s="387" t="e">
        <f t="shared" si="46"/>
        <v>#REF!</v>
      </c>
      <c r="G41" s="387" t="e">
        <f t="shared" si="46"/>
        <v>#REF!</v>
      </c>
      <c r="H41" s="387" t="e">
        <f t="shared" si="46"/>
        <v>#REF!</v>
      </c>
      <c r="I41" s="387" t="e">
        <f t="shared" si="46"/>
        <v>#REF!</v>
      </c>
      <c r="J41" s="387" t="e">
        <f t="shared" si="46"/>
        <v>#REF!</v>
      </c>
      <c r="K41" s="387" t="e">
        <f t="shared" si="46"/>
        <v>#REF!</v>
      </c>
      <c r="L41" s="387" t="e">
        <f t="shared" si="46"/>
        <v>#REF!</v>
      </c>
      <c r="M41" s="387" t="e">
        <f t="shared" si="46"/>
        <v>#REF!</v>
      </c>
      <c r="N41" s="387" t="e">
        <f t="shared" si="46"/>
        <v>#REF!</v>
      </c>
      <c r="O41" s="387" t="e">
        <f t="shared" si="46"/>
        <v>#REF!</v>
      </c>
      <c r="P41" s="387" t="e">
        <f t="shared" si="46"/>
        <v>#REF!</v>
      </c>
      <c r="Q41" s="387" t="e">
        <f t="shared" si="46"/>
        <v>#REF!</v>
      </c>
      <c r="R41" s="387" t="e">
        <f t="shared" si="46"/>
        <v>#REF!</v>
      </c>
      <c r="S41" s="387" t="e">
        <f t="shared" si="46"/>
        <v>#REF!</v>
      </c>
      <c r="T41" s="387" t="e">
        <f t="shared" si="46"/>
        <v>#REF!</v>
      </c>
      <c r="U41" s="387" t="e">
        <f t="shared" si="46"/>
        <v>#REF!</v>
      </c>
      <c r="V41" s="387" t="e">
        <f t="shared" si="46"/>
        <v>#REF!</v>
      </c>
      <c r="W41" s="387" t="e">
        <f t="shared" si="46"/>
        <v>#REF!</v>
      </c>
      <c r="X41" s="387" t="e">
        <f t="shared" si="46"/>
        <v>#REF!</v>
      </c>
      <c r="Y41" s="387" t="e">
        <f t="shared" si="46"/>
        <v>#REF!</v>
      </c>
      <c r="Z41" s="387" t="e">
        <f t="shared" si="46"/>
        <v>#REF!</v>
      </c>
      <c r="AA41" s="387" t="e">
        <f t="shared" si="46"/>
        <v>#REF!</v>
      </c>
      <c r="AB41" s="387" t="e">
        <f t="shared" si="46"/>
        <v>#REF!</v>
      </c>
      <c r="AC41" s="387" t="e">
        <f t="shared" si="46"/>
        <v>#REF!</v>
      </c>
      <c r="AD41" s="387" t="e">
        <f t="shared" si="46"/>
        <v>#REF!</v>
      </c>
      <c r="AE41" s="387" t="e">
        <f t="shared" si="46"/>
        <v>#REF!</v>
      </c>
      <c r="AF41" s="387" t="e">
        <f t="shared" si="46"/>
        <v>#REF!</v>
      </c>
      <c r="AG41" s="387" t="e">
        <f t="shared" si="46"/>
        <v>#REF!</v>
      </c>
      <c r="AH41" s="387" t="e">
        <f t="shared" si="46"/>
        <v>#REF!</v>
      </c>
      <c r="AI41" s="387" t="e">
        <f t="shared" si="46"/>
        <v>#REF!</v>
      </c>
      <c r="AJ41" s="421" t="e">
        <f>B40-AJ26</f>
        <v>#REF!</v>
      </c>
      <c r="AK41" s="406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94"/>
      <c r="AW41" s="394"/>
      <c r="AX41" s="394"/>
    </row>
    <row r="42" spans="1:50">
      <c r="A42" s="404" t="s">
        <v>276</v>
      </c>
      <c r="B42" s="231" t="e">
        <f>IF(B41&lt;0,0,IRR(C41:AU41))</f>
        <v>#REF!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414"/>
      <c r="AW42" s="414"/>
      <c r="AX42" s="394"/>
    </row>
    <row r="43" spans="1:50">
      <c r="A43" s="394" t="s">
        <v>277</v>
      </c>
      <c r="B43" s="422" t="e">
        <f>POWER((1+B42),4)-1</f>
        <v>#REF!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414"/>
      <c r="AW43" s="414"/>
      <c r="AX43" s="394"/>
    </row>
    <row r="44" spans="1:50">
      <c r="G44" s="21"/>
      <c r="AB44" s="21"/>
      <c r="AE44" s="21"/>
      <c r="AI44" s="21"/>
    </row>
    <row r="45" spans="1:50">
      <c r="G45" s="21"/>
      <c r="AB45" s="21"/>
      <c r="AE45" s="21"/>
      <c r="AI45" s="21"/>
    </row>
    <row r="46" spans="1:50">
      <c r="G46" s="21"/>
      <c r="AB46" s="21"/>
      <c r="AE46" s="21"/>
      <c r="AI46" s="21"/>
    </row>
    <row r="47" spans="1:50">
      <c r="G47" s="21"/>
      <c r="AB47" s="21"/>
      <c r="AE47" s="21"/>
      <c r="AI47" s="21"/>
    </row>
    <row r="48" spans="1:50">
      <c r="G48" s="21"/>
      <c r="AB48" s="21"/>
      <c r="AE48" s="21"/>
      <c r="AI48" s="21"/>
    </row>
    <row r="49" spans="7:35">
      <c r="G49" s="21"/>
      <c r="AB49" s="21"/>
      <c r="AE49" s="21"/>
      <c r="AI49" s="21"/>
    </row>
    <row r="50" spans="7:35">
      <c r="G50" s="21"/>
      <c r="AB50" s="21"/>
      <c r="AE50" s="21"/>
      <c r="AI50" s="21"/>
    </row>
    <row r="51" spans="7:35">
      <c r="G51" s="21"/>
    </row>
    <row r="52" spans="7:35">
      <c r="G52" s="21"/>
    </row>
    <row r="53" spans="7:35">
      <c r="G53" s="21"/>
    </row>
    <row r="54" spans="7:35">
      <c r="G54" s="21"/>
    </row>
    <row r="55" spans="7:35">
      <c r="G55" s="21"/>
    </row>
    <row r="56" spans="7:35">
      <c r="G56" s="21"/>
    </row>
    <row r="57" spans="7:35">
      <c r="G57" s="21"/>
    </row>
    <row r="58" spans="7:35">
      <c r="G58" s="21"/>
    </row>
    <row r="59" spans="7:35">
      <c r="G59" s="21"/>
    </row>
    <row r="60" spans="7:35">
      <c r="G60" s="21"/>
    </row>
    <row r="61" spans="7:35">
      <c r="G61" s="21"/>
    </row>
    <row r="62" spans="7:35">
      <c r="G62" s="21"/>
    </row>
    <row r="63" spans="7:35">
      <c r="G63" s="21"/>
    </row>
    <row r="64" spans="7:35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</sheetData>
  <mergeCells count="2">
    <mergeCell ref="A1:A3"/>
    <mergeCell ref="AV2:AX2"/>
  </mergeCells>
  <conditionalFormatting sqref="D3:AU3">
    <cfRule type="cellIs" dxfId="15" priority="1" operator="equal">
      <formula>#REF!</formula>
    </cfRule>
    <cfRule type="cellIs" dxfId="14" priority="2" operator="equal">
      <formula>#REF!</formula>
    </cfRule>
    <cfRule type="cellIs" dxfId="13" priority="3" operator="equal">
      <formula>#REF!</formula>
    </cfRule>
    <cfRule type="cellIs" dxfId="12" priority="4" operator="equal">
      <formula>#REF!</formula>
    </cfRule>
  </conditionalFormatting>
  <conditionalFormatting sqref="G3:AX3">
    <cfRule type="cellIs" dxfId="11" priority="5" operator="equal">
      <formula>#REF!</formula>
    </cfRule>
    <cfRule type="cellIs" dxfId="10" priority="6" operator="equal">
      <formula>#REF!</formula>
    </cfRule>
    <cfRule type="cellIs" dxfId="9" priority="7" operator="equal">
      <formula>#REF!</formula>
    </cfRule>
    <cfRule type="cellIs" dxfId="8" priority="8" operator="equal">
      <formula>#REF!</formula>
    </cfRule>
  </conditionalFormatting>
  <conditionalFormatting sqref="AC4">
    <cfRule type="cellIs" dxfId="7" priority="9" operator="equal">
      <formula>#REF!</formula>
    </cfRule>
    <cfRule type="cellIs" dxfId="6" priority="10" operator="equal">
      <formula>#REF!</formula>
    </cfRule>
    <cfRule type="cellIs" dxfId="5" priority="11" operator="equal">
      <formula>#REF!</formula>
    </cfRule>
    <cfRule type="cellIs" dxfId="4" priority="12" operator="equal">
      <formula>#REF!</formula>
    </cfRule>
  </conditionalFormatting>
  <conditionalFormatting sqref="AC4:AS4">
    <cfRule type="cellIs" dxfId="3" priority="13" operator="equal">
      <formula>#REF!</formula>
    </cfRule>
    <cfRule type="cellIs" dxfId="2" priority="14" operator="equal">
      <formula>#REF!</formula>
    </cfRule>
    <cfRule type="cellIs" dxfId="1" priority="15" operator="equal">
      <formula>#REF!</formula>
    </cfRule>
    <cfRule type="cellIs" dxfId="0" priority="16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C9E32-8857-402D-82B1-1BBFE64E13C1}">
  <sheetPr>
    <tabColor theme="6" tint="-0.249977111117893"/>
    <pageSetUpPr fitToPage="1"/>
  </sheetPr>
  <dimension ref="A1:G109"/>
  <sheetViews>
    <sheetView showGridLines="0" zoomScaleNormal="100" zoomScaleSheetLayoutView="90" workbookViewId="0">
      <selection activeCell="I25" sqref="I25"/>
    </sheetView>
  </sheetViews>
  <sheetFormatPr defaultColWidth="8.85546875" defaultRowHeight="23.25" customHeight="1"/>
  <cols>
    <col min="1" max="1" width="36.5703125" style="21" bestFit="1" customWidth="1"/>
    <col min="2" max="2" width="22.140625" style="21" bestFit="1" customWidth="1"/>
    <col min="3" max="3" width="22.42578125" style="21" bestFit="1" customWidth="1"/>
    <col min="4" max="4" width="11.85546875" style="21" bestFit="1" customWidth="1"/>
    <col min="5" max="5" width="18.140625" style="21" bestFit="1" customWidth="1"/>
    <col min="6" max="6" width="11.5703125" style="21" customWidth="1"/>
    <col min="7" max="7" width="13.85546875" style="21" customWidth="1"/>
    <col min="8" max="8" width="24.5703125" style="21" customWidth="1"/>
    <col min="9" max="9" width="32.42578125" style="21" customWidth="1"/>
    <col min="10" max="10" width="20.140625" style="21" customWidth="1"/>
    <col min="11" max="16384" width="8.85546875" style="21"/>
  </cols>
  <sheetData>
    <row r="1" spans="1:5" ht="16.5" thickBot="1">
      <c r="A1" s="1372" t="s">
        <v>168</v>
      </c>
      <c r="B1" s="1373"/>
      <c r="C1" s="1373"/>
      <c r="D1" s="1374" t="str">
        <f>'Development Program'!B8</f>
        <v>4th Street Site</v>
      </c>
      <c r="E1" s="1374"/>
    </row>
    <row r="2" spans="1:5" ht="12.75">
      <c r="A2" s="22"/>
      <c r="B2" s="23"/>
      <c r="C2" s="23"/>
      <c r="D2" s="517">
        <v>0</v>
      </c>
      <c r="E2" s="278" t="s">
        <v>169</v>
      </c>
    </row>
    <row r="3" spans="1:5" ht="12.75">
      <c r="A3" s="24" t="s">
        <v>170</v>
      </c>
      <c r="B3" s="25" t="s">
        <v>171</v>
      </c>
      <c r="C3" s="25" t="s">
        <v>299</v>
      </c>
      <c r="D3" s="25" t="s">
        <v>173</v>
      </c>
      <c r="E3" s="26" t="s">
        <v>174</v>
      </c>
    </row>
    <row r="4" spans="1:5" ht="12.75">
      <c r="A4" s="284" t="s">
        <v>175</v>
      </c>
      <c r="B4" s="280">
        <v>0</v>
      </c>
      <c r="C4" s="280">
        <v>1000</v>
      </c>
      <c r="D4" s="427">
        <v>7</v>
      </c>
      <c r="E4" s="283">
        <f>12*B4*C4*D4</f>
        <v>0</v>
      </c>
    </row>
    <row r="5" spans="1:5" ht="12.75" hidden="1">
      <c r="A5" s="279"/>
      <c r="B5" s="428"/>
      <c r="C5" s="428"/>
      <c r="D5" s="429"/>
      <c r="E5" s="283"/>
    </row>
    <row r="6" spans="1:5" ht="12.75" hidden="1">
      <c r="A6" s="284"/>
      <c r="B6" s="430"/>
      <c r="C6" s="430"/>
      <c r="D6" s="429"/>
      <c r="E6" s="283"/>
    </row>
    <row r="7" spans="1:5" ht="12.75" hidden="1">
      <c r="A7" s="284"/>
      <c r="B7" s="428"/>
      <c r="C7" s="428"/>
      <c r="D7" s="429"/>
      <c r="E7" s="283"/>
    </row>
    <row r="8" spans="1:5" ht="12.75" hidden="1">
      <c r="A8" s="284"/>
      <c r="B8" s="281"/>
      <c r="C8" s="281"/>
      <c r="D8" s="286"/>
      <c r="E8" s="283"/>
    </row>
    <row r="9" spans="1:5" ht="13.5" thickBot="1">
      <c r="A9" s="284"/>
      <c r="B9" s="281"/>
      <c r="C9" s="281"/>
      <c r="D9" s="286"/>
      <c r="E9" s="287"/>
    </row>
    <row r="10" spans="1:5" ht="14.25" thickTop="1" thickBot="1">
      <c r="A10" s="27" t="s">
        <v>176</v>
      </c>
      <c r="B10" s="28">
        <f>SUM(B4:B9)</f>
        <v>0</v>
      </c>
      <c r="C10" s="29">
        <f>B4*C4+B5*C5+B6*C6+B7*C7+B8*C8+B9*C9</f>
        <v>0</v>
      </c>
      <c r="D10" s="30"/>
      <c r="E10" s="288">
        <f>SUM(E4:E9)</f>
        <v>0</v>
      </c>
    </row>
    <row r="11" spans="1:5" ht="14.25" thickTop="1" thickBot="1">
      <c r="A11" s="31" t="s">
        <v>177</v>
      </c>
      <c r="B11" s="32"/>
      <c r="C11" s="33">
        <f>IF(B10=0,0,C10/B10)</f>
        <v>0</v>
      </c>
      <c r="D11" s="34" t="e">
        <f>(E10/12)/C10</f>
        <v>#DIV/0!</v>
      </c>
      <c r="E11" s="35"/>
    </row>
    <row r="12" spans="1:5" ht="12.75">
      <c r="A12" s="36"/>
      <c r="B12" s="37"/>
      <c r="C12" s="38"/>
      <c r="D12" s="39"/>
    </row>
    <row r="13" spans="1:5" ht="12.75">
      <c r="A13" s="24" t="s">
        <v>178</v>
      </c>
      <c r="B13" s="25" t="s">
        <v>179</v>
      </c>
      <c r="C13" s="25" t="s">
        <v>180</v>
      </c>
      <c r="D13" s="25" t="s">
        <v>174</v>
      </c>
    </row>
    <row r="14" spans="1:5" ht="21" customHeight="1">
      <c r="A14" s="289" t="s">
        <v>5</v>
      </c>
      <c r="B14" s="290">
        <v>0</v>
      </c>
      <c r="C14" s="478">
        <f>Assumptions!I113</f>
        <v>0</v>
      </c>
      <c r="D14" s="291">
        <f>B14*C14</f>
        <v>0</v>
      </c>
    </row>
    <row r="15" spans="1:5" ht="13.5" thickBot="1">
      <c r="A15" s="292" t="s">
        <v>4</v>
      </c>
      <c r="B15" s="293">
        <f>10*15000</f>
        <v>150000</v>
      </c>
      <c r="C15" s="479">
        <f>Assumptions!I6</f>
        <v>40</v>
      </c>
      <c r="D15" s="295">
        <f>B15*C15</f>
        <v>6000000</v>
      </c>
    </row>
    <row r="16" spans="1:5" ht="14.25" thickTop="1" thickBot="1">
      <c r="A16" s="40" t="s">
        <v>181</v>
      </c>
      <c r="B16" s="41">
        <f>SUM(B14:B15)</f>
        <v>150000</v>
      </c>
      <c r="C16" s="42">
        <f>IF(B16=0,0,D16/B16)</f>
        <v>40</v>
      </c>
      <c r="D16" s="43">
        <f>SUM(D14:D15)</f>
        <v>6000000</v>
      </c>
    </row>
    <row r="17" spans="1:5" ht="12.75">
      <c r="A17" s="299" t="s">
        <v>182</v>
      </c>
      <c r="B17" s="297"/>
    </row>
    <row r="18" spans="1:5" ht="12.75">
      <c r="A18" s="256" t="s">
        <v>183</v>
      </c>
      <c r="B18" s="298">
        <v>0</v>
      </c>
      <c r="C18" s="45"/>
      <c r="D18" s="46"/>
    </row>
    <row r="19" spans="1:5" ht="13.5" thickBot="1">
      <c r="A19" s="263" t="s">
        <v>184</v>
      </c>
      <c r="B19" s="298">
        <v>150</v>
      </c>
      <c r="C19" s="45"/>
      <c r="D19" s="46"/>
    </row>
    <row r="20" spans="1:5" ht="14.25" thickTop="1" thickBot="1">
      <c r="A20" s="47" t="s">
        <v>185</v>
      </c>
      <c r="B20" s="48">
        <f>SUM(B18:B19)</f>
        <v>150</v>
      </c>
      <c r="C20" s="45"/>
      <c r="D20" s="46"/>
    </row>
    <row r="21" spans="1:5" ht="12.75">
      <c r="A21" s="299" t="s">
        <v>186</v>
      </c>
      <c r="B21" s="518" t="str">
        <f>D1</f>
        <v>4th Street Site</v>
      </c>
      <c r="C21" s="49"/>
      <c r="D21" s="49"/>
      <c r="E21" s="49"/>
    </row>
    <row r="22" spans="1:5" ht="12.75">
      <c r="A22" s="301" t="s">
        <v>187</v>
      </c>
      <c r="B22" s="302">
        <f>'Development Program'!D8</f>
        <v>207980</v>
      </c>
      <c r="C22" s="50"/>
      <c r="D22" s="51"/>
      <c r="E22" s="49"/>
    </row>
    <row r="23" spans="1:5" ht="12.75">
      <c r="A23" s="301" t="s">
        <v>188</v>
      </c>
      <c r="B23" s="302">
        <f>B16</f>
        <v>150000</v>
      </c>
      <c r="C23" s="50"/>
      <c r="D23" s="51"/>
      <c r="E23" s="49"/>
    </row>
    <row r="24" spans="1:5" ht="12.75">
      <c r="A24" s="303" t="e">
        <f>Assumptions!#REF!</f>
        <v>#REF!</v>
      </c>
      <c r="B24" s="302" t="e">
        <f>B20*A24</f>
        <v>#REF!</v>
      </c>
      <c r="C24" s="50"/>
      <c r="D24" s="51"/>
      <c r="E24" s="49"/>
    </row>
    <row r="25" spans="1:5" ht="12.75">
      <c r="A25" s="431">
        <v>0.15</v>
      </c>
      <c r="B25" s="302" t="e">
        <f>(1+A25)*(B23+B24)</f>
        <v>#REF!</v>
      </c>
      <c r="C25" s="50"/>
      <c r="D25" s="51"/>
      <c r="E25" s="49"/>
    </row>
    <row r="26" spans="1:5" ht="13.5" thickBot="1">
      <c r="A26" s="432">
        <v>10</v>
      </c>
      <c r="B26" s="306" t="e">
        <f>B25/A26</f>
        <v>#REF!</v>
      </c>
      <c r="C26" s="50"/>
      <c r="D26" s="51"/>
      <c r="E26" s="49"/>
    </row>
    <row r="27" spans="1:5" ht="15" customHeight="1" thickBot="1">
      <c r="A27" s="1286" t="s">
        <v>189</v>
      </c>
      <c r="B27" s="1287"/>
      <c r="C27" s="1375" t="str">
        <f>D1</f>
        <v>4th Street Site</v>
      </c>
      <c r="D27" s="1259"/>
      <c r="E27" s="49"/>
    </row>
    <row r="28" spans="1:5" ht="14.45" customHeight="1" thickBot="1">
      <c r="A28" s="307" t="s">
        <v>190</v>
      </c>
      <c r="B28" s="308" t="s">
        <v>191</v>
      </c>
      <c r="C28" s="308" t="s">
        <v>192</v>
      </c>
      <c r="D28" s="309" t="s">
        <v>193</v>
      </c>
      <c r="E28" s="49"/>
    </row>
    <row r="29" spans="1:5" ht="31.35" customHeight="1">
      <c r="A29" s="310" t="s">
        <v>194</v>
      </c>
      <c r="B29" s="311">
        <f>IF(D29=0,0,D29/B10)</f>
        <v>0</v>
      </c>
      <c r="C29" s="312">
        <f>IF(D29=0,0,D29/C10)</f>
        <v>0</v>
      </c>
      <c r="D29" s="52">
        <f>E10</f>
        <v>0</v>
      </c>
      <c r="E29" s="49"/>
    </row>
    <row r="30" spans="1:5" ht="12.75">
      <c r="A30" s="313" t="str">
        <f>A16</f>
        <v>Total Commercial</v>
      </c>
      <c r="B30" s="1330" t="s">
        <v>195</v>
      </c>
      <c r="C30" s="1347"/>
      <c r="D30" s="53">
        <f>D16</f>
        <v>6000000</v>
      </c>
      <c r="E30" s="49"/>
    </row>
    <row r="31" spans="1:5" ht="12.75">
      <c r="A31" s="314"/>
      <c r="B31" s="1332" t="s">
        <v>196</v>
      </c>
      <c r="C31" s="1332"/>
      <c r="D31" s="315">
        <f>SUM(D29:D30)</f>
        <v>6000000</v>
      </c>
      <c r="E31" s="49"/>
    </row>
    <row r="32" spans="1:5" ht="12.75">
      <c r="A32" s="316" t="s">
        <v>197</v>
      </c>
      <c r="B32" s="315" t="s">
        <v>307</v>
      </c>
      <c r="C32" s="315"/>
      <c r="D32" s="315"/>
      <c r="E32" s="49"/>
    </row>
    <row r="33" spans="1:5" ht="12.75">
      <c r="A33" s="314" t="s">
        <v>308</v>
      </c>
      <c r="B33" s="317">
        <f>Assumptions!D33</f>
        <v>250</v>
      </c>
      <c r="C33" s="318"/>
      <c r="D33" s="317">
        <f>B33*B20*12</f>
        <v>450000</v>
      </c>
      <c r="E33" s="49"/>
    </row>
    <row r="34" spans="1:5" ht="12.75">
      <c r="A34" s="314" t="s">
        <v>201</v>
      </c>
      <c r="B34" s="317"/>
      <c r="C34" s="318"/>
      <c r="D34" s="317">
        <f>Assumptions!I14*D31</f>
        <v>420000.00000000006</v>
      </c>
      <c r="E34" s="49"/>
    </row>
    <row r="35" spans="1:5" ht="13.5" thickBot="1">
      <c r="A35" s="54" t="s">
        <v>202</v>
      </c>
      <c r="B35" s="1341"/>
      <c r="C35" s="1342"/>
      <c r="D35" s="55">
        <f>SUM(D33:D34)</f>
        <v>870000</v>
      </c>
      <c r="E35" s="49"/>
    </row>
    <row r="36" spans="1:5" ht="14.25" thickTop="1" thickBot="1">
      <c r="A36" s="56">
        <v>0.05</v>
      </c>
      <c r="B36" s="1348"/>
      <c r="C36" s="1349"/>
      <c r="D36" s="57">
        <f>-A36*D31</f>
        <v>-300000</v>
      </c>
      <c r="E36" s="49"/>
    </row>
    <row r="37" spans="1:5" ht="14.25" thickTop="1" thickBot="1">
      <c r="A37" s="319" t="s">
        <v>203</v>
      </c>
      <c r="B37" s="58"/>
      <c r="C37" s="320"/>
      <c r="D37" s="59">
        <f>D31+D35+D36</f>
        <v>6570000</v>
      </c>
      <c r="E37" s="49"/>
    </row>
    <row r="38" spans="1:5" ht="12.75">
      <c r="A38" s="24" t="s">
        <v>204</v>
      </c>
      <c r="B38" s="25" t="s">
        <v>191</v>
      </c>
      <c r="C38" s="25" t="s">
        <v>205</v>
      </c>
      <c r="D38" s="60" t="s">
        <v>193</v>
      </c>
      <c r="E38" s="49"/>
    </row>
    <row r="39" spans="1:5" ht="13.5" thickBot="1">
      <c r="A39" s="61" t="s">
        <v>206</v>
      </c>
      <c r="B39" s="62"/>
      <c r="C39" s="62"/>
      <c r="D39" s="62">
        <f>-0.3*D31</f>
        <v>-1800000</v>
      </c>
      <c r="E39" s="49"/>
    </row>
    <row r="40" spans="1:5" ht="13.5" thickBot="1">
      <c r="A40" s="321" t="s">
        <v>207</v>
      </c>
      <c r="B40" s="322"/>
      <c r="C40" s="323"/>
      <c r="D40" s="322">
        <f>D37+D39</f>
        <v>4770000</v>
      </c>
      <c r="E40" s="49"/>
    </row>
    <row r="41" spans="1:5" ht="13.5" thickBot="1">
      <c r="A41" s="324" t="s">
        <v>208</v>
      </c>
      <c r="B41" s="63" t="s">
        <v>209</v>
      </c>
      <c r="C41" s="64">
        <f>Assumptions!K9</f>
        <v>4.4999999999999998E-2</v>
      </c>
      <c r="D41" s="325">
        <f>D40/C41</f>
        <v>106000000</v>
      </c>
      <c r="E41" s="49"/>
    </row>
    <row r="42" spans="1:5" ht="13.5" thickBot="1">
      <c r="A42" s="1368" t="s">
        <v>210</v>
      </c>
      <c r="B42" s="1369"/>
      <c r="C42" s="1370" t="str">
        <f>D1</f>
        <v>4th Street Site</v>
      </c>
      <c r="D42" s="1371"/>
    </row>
    <row r="43" spans="1:5" ht="13.5" thickBot="1">
      <c r="A43" s="299"/>
      <c r="B43" s="65" t="s">
        <v>211</v>
      </c>
      <c r="C43" s="65" t="s">
        <v>212</v>
      </c>
      <c r="D43" s="65" t="s">
        <v>205</v>
      </c>
    </row>
    <row r="44" spans="1:5" ht="12.75">
      <c r="A44" s="229" t="s">
        <v>213</v>
      </c>
      <c r="B44" s="433">
        <f>Assumptions!I26</f>
        <v>248</v>
      </c>
      <c r="C44" s="326">
        <f>B44*(C10+B16)</f>
        <v>37200000</v>
      </c>
      <c r="D44" s="519">
        <f>C44/B$23</f>
        <v>248</v>
      </c>
    </row>
    <row r="45" spans="1:5" ht="12.75">
      <c r="A45" s="66" t="s">
        <v>214</v>
      </c>
      <c r="B45" s="434" t="e">
        <f>Assumptions!#REF!</f>
        <v>#REF!</v>
      </c>
      <c r="C45" s="67" t="e">
        <f>B20*B45</f>
        <v>#REF!</v>
      </c>
      <c r="D45" s="519" t="e">
        <f t="shared" ref="D45:D64" si="0">C45/B$23</f>
        <v>#REF!</v>
      </c>
    </row>
    <row r="46" spans="1:5" ht="12.75">
      <c r="A46" s="66" t="s">
        <v>59</v>
      </c>
      <c r="B46" s="435">
        <v>0.1</v>
      </c>
      <c r="C46" s="67">
        <f>B46*C44</f>
        <v>3720000</v>
      </c>
      <c r="D46" s="519">
        <f t="shared" si="0"/>
        <v>24.8</v>
      </c>
    </row>
    <row r="47" spans="1:5" ht="12.75">
      <c r="A47" s="66" t="s">
        <v>11</v>
      </c>
      <c r="B47" s="327" t="s">
        <v>67</v>
      </c>
      <c r="C47" s="67">
        <v>0</v>
      </c>
      <c r="D47" s="519"/>
    </row>
    <row r="48" spans="1:5" ht="25.5">
      <c r="A48" s="66" t="s">
        <v>215</v>
      </c>
      <c r="B48" s="328" t="s">
        <v>279</v>
      </c>
      <c r="C48" s="436">
        <v>5000000</v>
      </c>
      <c r="D48" s="519">
        <f t="shared" si="0"/>
        <v>33.333333333333336</v>
      </c>
    </row>
    <row r="49" spans="1:7" ht="12.75">
      <c r="A49" s="66" t="s">
        <v>62</v>
      </c>
      <c r="B49" s="520">
        <v>20</v>
      </c>
      <c r="C49" s="67">
        <f>B23*B49</f>
        <v>3000000</v>
      </c>
      <c r="D49" s="519">
        <f t="shared" si="0"/>
        <v>20</v>
      </c>
    </row>
    <row r="50" spans="1:7" ht="23.25" customHeight="1">
      <c r="A50" s="66" t="s">
        <v>217</v>
      </c>
      <c r="B50" s="437" t="s">
        <v>218</v>
      </c>
      <c r="C50" s="67">
        <f>'Development Program'!E16+'Development Program'!E17</f>
        <v>1000000</v>
      </c>
      <c r="D50" s="519">
        <f t="shared" si="0"/>
        <v>6.666666666666667</v>
      </c>
    </row>
    <row r="51" spans="1:7" ht="12.75">
      <c r="A51" s="256" t="s">
        <v>66</v>
      </c>
      <c r="B51" s="330" t="s">
        <v>67</v>
      </c>
      <c r="C51" s="438">
        <v>400000</v>
      </c>
      <c r="D51" s="519">
        <f t="shared" si="0"/>
        <v>2.6666666666666665</v>
      </c>
    </row>
    <row r="52" spans="1:7" ht="12.75">
      <c r="A52" s="256" t="s">
        <v>68</v>
      </c>
      <c r="B52" s="330" t="s">
        <v>67</v>
      </c>
      <c r="C52" s="438">
        <v>300000</v>
      </c>
      <c r="D52" s="519">
        <f t="shared" si="0"/>
        <v>2</v>
      </c>
      <c r="E52" s="68"/>
    </row>
    <row r="53" spans="1:7" ht="49.5" customHeight="1">
      <c r="A53" s="256" t="s">
        <v>69</v>
      </c>
      <c r="B53" s="439">
        <v>0.04</v>
      </c>
      <c r="C53" s="331">
        <f>B53*(C44+C46)</f>
        <v>1636800</v>
      </c>
      <c r="D53" s="519">
        <f t="shared" si="0"/>
        <v>10.912000000000001</v>
      </c>
    </row>
    <row r="54" spans="1:7" ht="22.5" customHeight="1">
      <c r="A54" s="256" t="s">
        <v>71</v>
      </c>
      <c r="B54" s="440">
        <v>0.03</v>
      </c>
      <c r="C54" s="332" t="e">
        <f>B54*SUM(C44:C53)</f>
        <v>#REF!</v>
      </c>
      <c r="D54" s="519" t="e">
        <f t="shared" si="0"/>
        <v>#REF!</v>
      </c>
    </row>
    <row r="55" spans="1:7" ht="12.75">
      <c r="A55" s="256" t="s">
        <v>73</v>
      </c>
      <c r="B55" s="439">
        <v>0.02</v>
      </c>
      <c r="C55" s="331">
        <f>B55*(C44+C46)</f>
        <v>818400</v>
      </c>
      <c r="D55" s="519">
        <f t="shared" si="0"/>
        <v>5.4560000000000004</v>
      </c>
    </row>
    <row r="56" spans="1:7" ht="26.25" customHeight="1">
      <c r="A56" s="256" t="s">
        <v>219</v>
      </c>
      <c r="B56" s="333" t="s">
        <v>67</v>
      </c>
      <c r="C56" s="438">
        <f>'Development Program'!H20</f>
        <v>500000</v>
      </c>
      <c r="D56" s="519">
        <f t="shared" si="0"/>
        <v>3.3333333333333335</v>
      </c>
    </row>
    <row r="57" spans="1:7" ht="12.75">
      <c r="A57" s="256" t="s">
        <v>77</v>
      </c>
      <c r="B57" s="521">
        <v>6</v>
      </c>
      <c r="C57" s="331">
        <f>B57*B16</f>
        <v>900000</v>
      </c>
      <c r="D57" s="519">
        <f t="shared" si="0"/>
        <v>6</v>
      </c>
    </row>
    <row r="58" spans="1:7" ht="12.75">
      <c r="A58" s="256" t="s">
        <v>79</v>
      </c>
      <c r="B58" s="330" t="s">
        <v>67</v>
      </c>
      <c r="C58" s="438">
        <v>800000</v>
      </c>
      <c r="D58" s="519">
        <f t="shared" si="0"/>
        <v>5.333333333333333</v>
      </c>
    </row>
    <row r="59" spans="1:7" ht="12.75">
      <c r="A59" s="256" t="s">
        <v>80</v>
      </c>
      <c r="B59" s="441">
        <v>6</v>
      </c>
      <c r="C59" s="331">
        <f>-B59*(D39/12)</f>
        <v>900000</v>
      </c>
      <c r="D59" s="519">
        <f t="shared" si="0"/>
        <v>6</v>
      </c>
    </row>
    <row r="60" spans="1:7" ht="12.75">
      <c r="A60" s="256" t="s">
        <v>220</v>
      </c>
      <c r="B60" s="69">
        <v>75</v>
      </c>
      <c r="C60" s="331">
        <f>B16*B60</f>
        <v>11250000</v>
      </c>
      <c r="D60" s="519">
        <f t="shared" si="0"/>
        <v>75</v>
      </c>
    </row>
    <row r="61" spans="1:7" ht="27" customHeight="1">
      <c r="A61" s="256" t="s">
        <v>221</v>
      </c>
      <c r="B61" s="442">
        <v>0.06</v>
      </c>
      <c r="C61" s="332">
        <f>B61*D16*5</f>
        <v>1800000</v>
      </c>
      <c r="D61" s="519">
        <f t="shared" si="0"/>
        <v>12</v>
      </c>
    </row>
    <row r="62" spans="1:7" ht="27" customHeight="1">
      <c r="A62" s="256" t="s">
        <v>83</v>
      </c>
      <c r="B62" s="443">
        <v>1.4999999999999999E-2</v>
      </c>
      <c r="C62" s="332">
        <v>1006000</v>
      </c>
      <c r="D62" s="519">
        <f t="shared" si="0"/>
        <v>6.706666666666667</v>
      </c>
      <c r="E62" s="1264" t="s">
        <v>280</v>
      </c>
      <c r="F62" s="1265"/>
      <c r="G62" s="70" t="e">
        <f>B62*B75</f>
        <v>#REF!</v>
      </c>
    </row>
    <row r="63" spans="1:7" ht="12.75">
      <c r="A63" s="334" t="s">
        <v>84</v>
      </c>
      <c r="B63" s="444">
        <v>7.0000000000000007E-2</v>
      </c>
      <c r="C63" s="332">
        <v>4695000</v>
      </c>
      <c r="D63" s="519">
        <f t="shared" si="0"/>
        <v>31.3</v>
      </c>
      <c r="E63" s="1264" t="s">
        <v>280</v>
      </c>
      <c r="F63" s="1265"/>
      <c r="G63" s="71" t="e">
        <f>B63*B75</f>
        <v>#REF!</v>
      </c>
    </row>
    <row r="64" spans="1:7" ht="13.5" thickBot="1">
      <c r="A64" s="263" t="s">
        <v>223</v>
      </c>
      <c r="B64" s="335" t="s">
        <v>67</v>
      </c>
      <c r="C64" s="445">
        <v>2000000</v>
      </c>
      <c r="D64" s="519">
        <f t="shared" si="0"/>
        <v>13.333333333333334</v>
      </c>
    </row>
    <row r="65" spans="1:4" ht="14.25" thickTop="1" thickBot="1">
      <c r="A65" s="337" t="s">
        <v>224</v>
      </c>
      <c r="B65" s="338"/>
      <c r="C65" s="72" t="e">
        <f>SUM(C44:C64)</f>
        <v>#REF!</v>
      </c>
      <c r="D65" s="72" t="e">
        <f>C65/B23</f>
        <v>#REF!</v>
      </c>
    </row>
    <row r="66" spans="1:4" ht="12.75">
      <c r="A66" s="339" t="s">
        <v>225</v>
      </c>
      <c r="B66" s="340" t="e">
        <f>D40/C65</f>
        <v>#REF!</v>
      </c>
    </row>
    <row r="67" spans="1:4" ht="12.75">
      <c r="A67" s="341" t="s">
        <v>226</v>
      </c>
      <c r="B67" s="342" t="e">
        <f>(D41/C65)-1</f>
        <v>#REF!</v>
      </c>
      <c r="C67" s="73"/>
      <c r="D67" s="74"/>
    </row>
    <row r="68" spans="1:4" ht="13.5" thickBot="1">
      <c r="A68" s="343">
        <v>0.3</v>
      </c>
      <c r="B68" s="344">
        <f>(D41/(1+A68))</f>
        <v>81538461.538461536</v>
      </c>
    </row>
    <row r="69" spans="1:4" ht="13.5" thickBot="1">
      <c r="A69" s="446">
        <v>0.3</v>
      </c>
      <c r="B69" s="344" t="e">
        <f>ROUND((D41/(1+A69))-C65,-3)</f>
        <v>#REF!</v>
      </c>
      <c r="C69" s="75" t="s">
        <v>227</v>
      </c>
    </row>
    <row r="70" spans="1:4" ht="13.5" thickBot="1">
      <c r="A70" s="76"/>
      <c r="B70" s="77"/>
    </row>
    <row r="71" spans="1:4" ht="15" customHeight="1" thickBot="1">
      <c r="A71" s="1314" t="s">
        <v>228</v>
      </c>
      <c r="B71" s="1315"/>
      <c r="C71" s="522" t="str">
        <f>D1</f>
        <v>4th Street Site</v>
      </c>
    </row>
    <row r="72" spans="1:4" ht="13.5" thickBot="1">
      <c r="A72" s="347"/>
      <c r="B72" s="348" t="s">
        <v>229</v>
      </c>
      <c r="C72" s="349" t="s">
        <v>309</v>
      </c>
    </row>
    <row r="73" spans="1:4" ht="12.75">
      <c r="A73" s="78" t="s">
        <v>230</v>
      </c>
      <c r="B73" s="79" t="e">
        <f>IF(B69&lt;0,B69,0)</f>
        <v>#REF!</v>
      </c>
      <c r="C73" s="288" t="e">
        <f>B73/B23</f>
        <v>#REF!</v>
      </c>
    </row>
    <row r="74" spans="1:4" ht="12.75">
      <c r="A74" s="80" t="s">
        <v>231</v>
      </c>
      <c r="B74" s="79" t="e">
        <f>C65+B73</f>
        <v>#REF!</v>
      </c>
      <c r="C74" s="288" t="e">
        <f>B74/B$23</f>
        <v>#REF!</v>
      </c>
    </row>
    <row r="75" spans="1:4" ht="12.75">
      <c r="A75" s="448">
        <f>Assumptions!K18</f>
        <v>0.6</v>
      </c>
      <c r="B75" s="81" t="e">
        <f>ROUND(A75*C65,-3)</f>
        <v>#REF!</v>
      </c>
      <c r="C75" s="288" t="e">
        <f t="shared" ref="C75:C77" si="1">B75/B$23</f>
        <v>#REF!</v>
      </c>
    </row>
    <row r="76" spans="1:4" ht="24" customHeight="1" thickBot="1">
      <c r="A76" s="351">
        <f>1-A75</f>
        <v>0.4</v>
      </c>
      <c r="B76" s="81" t="e">
        <f>ROUND(A76*C65,-3)</f>
        <v>#REF!</v>
      </c>
      <c r="C76" s="288" t="e">
        <f t="shared" si="1"/>
        <v>#REF!</v>
      </c>
      <c r="D76" s="74"/>
    </row>
    <row r="77" spans="1:4" ht="35.450000000000003" customHeight="1" thickTop="1">
      <c r="A77" s="126" t="s">
        <v>232</v>
      </c>
      <c r="B77" s="449" t="e">
        <f>B75+B76</f>
        <v>#REF!</v>
      </c>
      <c r="C77" s="288" t="e">
        <f t="shared" si="1"/>
        <v>#REF!</v>
      </c>
    </row>
    <row r="78" spans="1:4" ht="13.5" thickBot="1">
      <c r="A78" s="354"/>
      <c r="B78" s="212"/>
      <c r="C78" s="355"/>
    </row>
    <row r="79" spans="1:4" ht="39" customHeight="1" thickBot="1">
      <c r="A79" s="1292" t="s">
        <v>233</v>
      </c>
      <c r="B79" s="1293"/>
      <c r="C79" s="346" t="str">
        <f>D1</f>
        <v>4th Street Site</v>
      </c>
    </row>
    <row r="80" spans="1:4" ht="48" customHeight="1" thickBot="1">
      <c r="A80" s="83"/>
      <c r="B80" s="356" t="s">
        <v>234</v>
      </c>
      <c r="C80" s="356"/>
    </row>
    <row r="81" spans="1:5" ht="36.75" customHeight="1">
      <c r="A81" s="357" t="s">
        <v>235</v>
      </c>
      <c r="B81" s="359">
        <f>ROUND(D41,-2)</f>
        <v>106000000</v>
      </c>
      <c r="C81" s="359"/>
    </row>
    <row r="82" spans="1:5" ht="29.25" customHeight="1" thickBot="1">
      <c r="A82" s="451">
        <v>0.02</v>
      </c>
      <c r="B82" s="452">
        <f>(-ROUND(A82*B81,-2))</f>
        <v>-2120000</v>
      </c>
      <c r="C82" s="362"/>
    </row>
    <row r="83" spans="1:5" ht="37.5" customHeight="1" thickTop="1" thickBot="1">
      <c r="A83" s="363" t="s">
        <v>236</v>
      </c>
      <c r="B83" s="84">
        <f>B81+B82</f>
        <v>103880000</v>
      </c>
      <c r="C83" s="84"/>
      <c r="E83" s="85"/>
    </row>
    <row r="84" spans="1:5" ht="29.25" customHeight="1">
      <c r="A84" s="357" t="s">
        <v>237</v>
      </c>
      <c r="B84" s="359" t="e">
        <f>-B75</f>
        <v>#REF!</v>
      </c>
      <c r="C84" s="359"/>
    </row>
    <row r="85" spans="1:5" ht="13.5" thickBot="1">
      <c r="A85" s="364" t="s">
        <v>238</v>
      </c>
      <c r="B85" s="362" t="e">
        <f>-B76</f>
        <v>#REF!</v>
      </c>
      <c r="C85" s="362"/>
    </row>
    <row r="86" spans="1:5" ht="14.25" thickTop="1" thickBot="1">
      <c r="A86" s="135" t="s">
        <v>239</v>
      </c>
      <c r="B86" s="86" t="e">
        <f>ROUND(B83+B84+B85,-2)</f>
        <v>#REF!</v>
      </c>
      <c r="C86" s="86"/>
      <c r="D86" s="87"/>
    </row>
    <row r="87" spans="1:5" ht="15" customHeight="1" thickBot="1">
      <c r="A87" s="1292" t="s">
        <v>310</v>
      </c>
      <c r="B87" s="1293"/>
      <c r="C87" s="523" t="str">
        <f>D1</f>
        <v>4th Street Site</v>
      </c>
    </row>
    <row r="88" spans="1:5" ht="12.75">
      <c r="A88" s="366" t="s">
        <v>241</v>
      </c>
      <c r="B88" s="367">
        <f>(B81)/B$23</f>
        <v>706.66666666666663</v>
      </c>
      <c r="C88" s="367"/>
    </row>
    <row r="89" spans="1:5" ht="23.25" customHeight="1" thickBot="1">
      <c r="A89" s="368" t="s">
        <v>242</v>
      </c>
      <c r="B89" s="367">
        <f>(B83)/B$23</f>
        <v>692.5333333333333</v>
      </c>
      <c r="C89" s="369"/>
    </row>
    <row r="90" spans="1:5" ht="14.45" hidden="1" customHeight="1">
      <c r="A90" s="1280" t="s">
        <v>243</v>
      </c>
      <c r="B90" s="1281"/>
      <c r="C90" s="1282"/>
    </row>
    <row r="91" spans="1:5" ht="13.5" thickBot="1">
      <c r="A91" s="354"/>
      <c r="B91" s="88"/>
      <c r="C91" s="88"/>
    </row>
    <row r="92" spans="1:5" ht="29.25" customHeight="1">
      <c r="A92" s="89"/>
      <c r="B92" s="356" t="s">
        <v>234</v>
      </c>
      <c r="C92" s="356"/>
    </row>
    <row r="93" spans="1:5" ht="12.75">
      <c r="A93" s="370" t="s">
        <v>244</v>
      </c>
      <c r="B93" s="371" t="e">
        <f>(B86+B76)/B76</f>
        <v>#REF!</v>
      </c>
      <c r="C93" s="371"/>
    </row>
    <row r="94" spans="1:5" ht="23.25" customHeight="1">
      <c r="A94" s="372" t="s">
        <v>245</v>
      </c>
      <c r="B94" s="165" t="e">
        <f>'F Draw'!B38</f>
        <v>#REF!</v>
      </c>
      <c r="C94" s="165"/>
      <c r="D94" s="90"/>
    </row>
    <row r="95" spans="1:5" ht="23.25" customHeight="1">
      <c r="A95" s="370" t="s">
        <v>247</v>
      </c>
      <c r="B95" s="373" t="e">
        <f>D40/B75</f>
        <v>#REF!</v>
      </c>
      <c r="C95" s="373"/>
    </row>
    <row r="96" spans="1:5" ht="23.25" customHeight="1">
      <c r="A96" s="370" t="s">
        <v>248</v>
      </c>
      <c r="B96" s="374">
        <f>C41</f>
        <v>4.4999999999999998E-2</v>
      </c>
      <c r="C96" s="374"/>
    </row>
    <row r="103" spans="1:4" ht="23.25" hidden="1" customHeight="1" thickBot="1"/>
    <row r="109" spans="1:4" ht="23.25" customHeight="1">
      <c r="A109" s="166"/>
      <c r="B109" s="166"/>
      <c r="C109" s="166"/>
      <c r="D109" s="46"/>
    </row>
  </sheetData>
  <mergeCells count="16">
    <mergeCell ref="B35:C35"/>
    <mergeCell ref="B30:C30"/>
    <mergeCell ref="B31:C31"/>
    <mergeCell ref="A1:C1"/>
    <mergeCell ref="D1:E1"/>
    <mergeCell ref="C27:D27"/>
    <mergeCell ref="A27:B27"/>
    <mergeCell ref="A90:C90"/>
    <mergeCell ref="B36:C36"/>
    <mergeCell ref="E62:F62"/>
    <mergeCell ref="E63:F63"/>
    <mergeCell ref="A42:B42"/>
    <mergeCell ref="C42:D42"/>
    <mergeCell ref="A71:B71"/>
    <mergeCell ref="A79:B79"/>
    <mergeCell ref="A87:B87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35" max="8" man="1"/>
    <brk id="53" max="8" man="1"/>
    <brk id="83" max="8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1:U30"/>
  <sheetViews>
    <sheetView showGridLines="0" tabSelected="1" zoomScale="87" zoomScaleNormal="87" zoomScaleSheetLayoutView="90" workbookViewId="0">
      <selection activeCell="A16" sqref="A16"/>
    </sheetView>
  </sheetViews>
  <sheetFormatPr defaultColWidth="8.85546875" defaultRowHeight="23.25" customHeight="1"/>
  <cols>
    <col min="1" max="1" width="8.85546875" style="16"/>
    <col min="2" max="2" width="45.140625" style="16" customWidth="1"/>
    <col min="3" max="3" width="28.42578125" style="16" bestFit="1" customWidth="1"/>
    <col min="4" max="4" width="18.140625" style="16" bestFit="1" customWidth="1"/>
    <col min="5" max="5" width="29.42578125" style="16" bestFit="1" customWidth="1"/>
    <col min="6" max="6" width="20.85546875" style="16" bestFit="1" customWidth="1"/>
    <col min="7" max="7" width="24" style="16" bestFit="1" customWidth="1"/>
    <col min="8" max="8" width="29.5703125" style="16" bestFit="1" customWidth="1"/>
    <col min="9" max="9" width="27.5703125" style="16" bestFit="1" customWidth="1"/>
    <col min="10" max="10" width="18.5703125" style="16" customWidth="1"/>
    <col min="11" max="11" width="18.42578125" style="16" bestFit="1" customWidth="1"/>
    <col min="12" max="13" width="17" style="16" bestFit="1" customWidth="1"/>
    <col min="14" max="14" width="15.5703125" style="16" bestFit="1" customWidth="1"/>
    <col min="15" max="15" width="16.42578125" style="16" bestFit="1" customWidth="1"/>
    <col min="16" max="40" width="7.28515625" style="16" customWidth="1"/>
    <col min="41" max="16384" width="8.85546875" style="16"/>
  </cols>
  <sheetData>
    <row r="1" spans="2:21" ht="23.25" customHeight="1" thickBot="1"/>
    <row r="2" spans="2:21" ht="23.25" customHeight="1">
      <c r="B2" s="1243" t="s">
        <v>101</v>
      </c>
      <c r="C2" s="1244"/>
      <c r="D2" s="1244"/>
      <c r="E2" s="1244"/>
      <c r="F2" s="1244"/>
      <c r="G2" s="1244"/>
      <c r="H2" s="1244"/>
      <c r="I2" s="1244"/>
      <c r="J2" s="1244"/>
      <c r="K2" s="1244"/>
      <c r="L2" s="1244"/>
      <c r="M2" s="1244"/>
      <c r="N2" s="1244"/>
      <c r="O2" s="1245"/>
      <c r="P2" s="855"/>
      <c r="Q2" s="855"/>
      <c r="R2" s="855"/>
    </row>
    <row r="3" spans="2:21" ht="23.25" customHeight="1" thickBot="1">
      <c r="B3" s="1246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247"/>
      <c r="O3" s="1248"/>
      <c r="U3" s="91"/>
    </row>
    <row r="4" spans="2:21" ht="45">
      <c r="B4" s="917" t="s">
        <v>102</v>
      </c>
      <c r="C4" s="918" t="s">
        <v>103</v>
      </c>
      <c r="D4" s="918" t="s">
        <v>104</v>
      </c>
      <c r="E4" s="919" t="s">
        <v>105</v>
      </c>
      <c r="F4" s="918" t="s">
        <v>381</v>
      </c>
      <c r="G4" s="918" t="s">
        <v>106</v>
      </c>
      <c r="H4" s="919" t="s">
        <v>107</v>
      </c>
      <c r="I4" s="918" t="s">
        <v>108</v>
      </c>
      <c r="J4" s="919" t="s">
        <v>109</v>
      </c>
      <c r="K4" s="918" t="s">
        <v>110</v>
      </c>
      <c r="L4" s="918" t="s">
        <v>111</v>
      </c>
      <c r="M4" s="918" t="s">
        <v>112</v>
      </c>
      <c r="N4" s="919" t="s">
        <v>113</v>
      </c>
      <c r="O4" s="920" t="s">
        <v>114</v>
      </c>
    </row>
    <row r="5" spans="2:21" ht="15">
      <c r="B5" s="1186" t="s">
        <v>481</v>
      </c>
      <c r="C5" s="911">
        <v>942000860</v>
      </c>
      <c r="D5" s="936">
        <f>'Courthouse Financial '!B23</f>
        <v>495671</v>
      </c>
      <c r="E5" s="911" t="str">
        <f>'Types of Development'!E8</f>
        <v>RES-Market-Sale</v>
      </c>
      <c r="F5" s="936">
        <f>'Market Research'!U6</f>
        <v>55000000</v>
      </c>
      <c r="G5" s="922">
        <f>'Courthouse Financial '!B10</f>
        <v>522</v>
      </c>
      <c r="H5" s="923">
        <f>'Courthouse Financial '!B16</f>
        <v>49721</v>
      </c>
      <c r="I5" s="924">
        <v>10</v>
      </c>
      <c r="J5" s="936">
        <f>'Courthouse Financial '!D31</f>
        <v>378702000</v>
      </c>
      <c r="K5" s="936">
        <f>'Courthouse Financial '!C55</f>
        <v>220537853.16463998</v>
      </c>
      <c r="L5" s="936">
        <f>'Courthouse Financial '!B66</f>
        <v>88215141.265855998</v>
      </c>
      <c r="M5" s="936">
        <f>'Courthouse Financial '!B65</f>
        <v>132322711.89878398</v>
      </c>
      <c r="N5" s="936">
        <f>-'Courthouse Financial '!B63</f>
        <v>0</v>
      </c>
      <c r="O5" s="1025">
        <f>'Courthouse Financial '!B85</f>
        <v>0.25236182196406753</v>
      </c>
    </row>
    <row r="6" spans="2:21" ht="15">
      <c r="B6" s="1186" t="s">
        <v>383</v>
      </c>
      <c r="C6" s="911">
        <v>942001150</v>
      </c>
      <c r="D6" s="936">
        <f>'Yesler Financial'!B22+'Yesler Financial'!B23</f>
        <v>96380</v>
      </c>
      <c r="E6" s="925" t="str">
        <f>'Types of Development'!E11</f>
        <v>Hotel</v>
      </c>
      <c r="F6" s="936">
        <f>'Yesler Financial'!C43</f>
        <v>10000000</v>
      </c>
      <c r="G6" s="926">
        <f>'Yesler Financial'!B9</f>
        <v>185</v>
      </c>
      <c r="H6" s="927">
        <f>'Yesler Financial'!B15</f>
        <v>27130</v>
      </c>
      <c r="I6" s="924">
        <v>7</v>
      </c>
      <c r="J6" s="936">
        <f>'Yesler Financial'!D36</f>
        <v>81585933.333333343</v>
      </c>
      <c r="K6" s="936">
        <f>'Yesler Financial'!C61</f>
        <v>58604835.520000003</v>
      </c>
      <c r="L6" s="936">
        <f>'Yesler Financial'!B72</f>
        <v>23441934.208000004</v>
      </c>
      <c r="M6" s="936">
        <f>'Yesler Financial'!B71</f>
        <v>35162901.311999999</v>
      </c>
      <c r="N6" s="936">
        <f>-'Yesler Financial'!B69</f>
        <v>0</v>
      </c>
      <c r="O6" s="1025">
        <f>'Yesler Financial'!B90</f>
        <v>0.18778587530545598</v>
      </c>
    </row>
    <row r="7" spans="2:21" ht="15">
      <c r="B7" s="1186" t="s">
        <v>479</v>
      </c>
      <c r="C7" s="911">
        <v>942000920</v>
      </c>
      <c r="D7" s="936">
        <f>'Lower Cascade Financial'!B28+'Lower Cascade Financial'!B29</f>
        <v>807400</v>
      </c>
      <c r="E7" s="925" t="str">
        <f>'Types of Development'!E9</f>
        <v>RES-AFF-MU</v>
      </c>
      <c r="F7" s="936">
        <f>'Market Research'!U7</f>
        <v>48900000</v>
      </c>
      <c r="G7" s="922">
        <f>'Lower Cascade Financial'!B17</f>
        <v>614</v>
      </c>
      <c r="H7" s="928">
        <f>'Lower Cascade Financial'!B22</f>
        <v>86000</v>
      </c>
      <c r="I7" s="924">
        <v>22</v>
      </c>
      <c r="J7" s="936">
        <f>'Lower Cascade Financial'!D46</f>
        <v>322042804.21052635</v>
      </c>
      <c r="K7" s="936">
        <f>'Lower Cascade Financial'!C71</f>
        <v>264933281.96000001</v>
      </c>
      <c r="L7" s="936">
        <f>'Lower Cascade Financial'!B82</f>
        <v>105973312.78400001</v>
      </c>
      <c r="M7" s="936">
        <f>'Lower Cascade Financial'!B81</f>
        <v>158959969.176</v>
      </c>
      <c r="N7" s="936">
        <f>-'Lower Cascade Financial'!B79</f>
        <v>17208000</v>
      </c>
      <c r="O7" s="1025">
        <f>'Lower Cascade Draw '!B39</f>
        <v>0.1257276110504304</v>
      </c>
    </row>
    <row r="8" spans="2:21" ht="75">
      <c r="B8" s="1186" t="s">
        <v>470</v>
      </c>
      <c r="C8" s="911" t="s">
        <v>414</v>
      </c>
      <c r="D8" s="936">
        <f>'4th Street Financial '!B21+'4th Street Financial '!B22</f>
        <v>207980</v>
      </c>
      <c r="E8" s="925" t="str">
        <f>'Types of Development'!E9</f>
        <v>RES-AFF-MU</v>
      </c>
      <c r="F8" s="936">
        <f>'4th Street Financial '!C49</f>
        <v>13349000</v>
      </c>
      <c r="G8" s="922">
        <f>'4th Street Financial '!B6</f>
        <v>115</v>
      </c>
      <c r="H8" s="929">
        <f>'4th Street Financial '!B14</f>
        <v>95980</v>
      </c>
      <c r="I8" s="924">
        <v>6</v>
      </c>
      <c r="J8" s="936">
        <f>'4th Street Financial '!D39</f>
        <v>76118703.157894731</v>
      </c>
      <c r="K8" s="936">
        <f>'4th Street Financial '!C67</f>
        <v>64639012.879999995</v>
      </c>
      <c r="L8" s="936">
        <f>'4th Street Financial '!B78</f>
        <v>32319506.439999998</v>
      </c>
      <c r="M8" s="936">
        <f>'4th Street Financial '!B77</f>
        <v>32319506.439999998</v>
      </c>
      <c r="N8" s="936">
        <f>-'4th Street Financial '!B75</f>
        <v>1207000</v>
      </c>
      <c r="O8" s="1025">
        <f>'4th Street Financial '!B95</f>
        <v>0.10556672553552615</v>
      </c>
      <c r="T8" s="921"/>
    </row>
    <row r="9" spans="2:21" ht="15">
      <c r="B9" s="1186" t="s">
        <v>482</v>
      </c>
      <c r="C9" s="911">
        <v>942001105</v>
      </c>
      <c r="D9" s="936">
        <f>'Chinook Financial'!B20+'Chinook Financial'!B21</f>
        <v>407940</v>
      </c>
      <c r="E9" s="925" t="str">
        <f>'Types of Development'!E7</f>
        <v>RES-Market-Rental</v>
      </c>
      <c r="F9" s="936">
        <f>'Chinook Financial'!C49</f>
        <v>70000000</v>
      </c>
      <c r="G9" s="922">
        <f>'Chinook Financial'!B7</f>
        <v>194</v>
      </c>
      <c r="H9" s="923">
        <f>'Chinook Financial'!B12</f>
        <v>122900</v>
      </c>
      <c r="I9" s="924">
        <v>13</v>
      </c>
      <c r="J9" s="936">
        <f>'Chinook Financial'!D42</f>
        <v>272013504</v>
      </c>
      <c r="K9" s="936">
        <f>'Chinook Financial'!C67</f>
        <v>177013721.54197598</v>
      </c>
      <c r="L9" s="936">
        <f>'Chinook Financial'!B78</f>
        <v>88506860.770987988</v>
      </c>
      <c r="M9" s="936">
        <f>'Chinook Financial'!B77</f>
        <v>88506860.770987988</v>
      </c>
      <c r="N9" s="936">
        <f>-'Chinook Financial'!B75</f>
        <v>0</v>
      </c>
      <c r="O9" s="1025">
        <f>'Chinook Financial'!B96</f>
        <v>0.37575717382904195</v>
      </c>
    </row>
    <row r="10" spans="2:21" ht="15">
      <c r="B10" s="1187" t="s">
        <v>480</v>
      </c>
      <c r="C10" s="911">
        <v>942001010</v>
      </c>
      <c r="D10" s="936">
        <f>'Rainier Tower Financial '!B30+'Rainier Tower Financial '!B31</f>
        <v>778334.2</v>
      </c>
      <c r="E10" s="911" t="str">
        <f>'Types of Development'!E8</f>
        <v>RES-Market-Sale</v>
      </c>
      <c r="F10" s="936">
        <f>'Rainier Tower Financial '!C55</f>
        <v>48900000</v>
      </c>
      <c r="G10" s="930">
        <f>'Rainier Tower Financial '!B16</f>
        <v>556</v>
      </c>
      <c r="H10" s="931">
        <f>'Rainier Tower Financial '!B21</f>
        <v>111453</v>
      </c>
      <c r="I10" s="924">
        <v>35</v>
      </c>
      <c r="J10" s="936">
        <f>'Rainier Tower Financial '!D48</f>
        <v>334645785</v>
      </c>
      <c r="K10" s="936">
        <f>'Rainier Tower Financial '!C72</f>
        <v>263392349.59408</v>
      </c>
      <c r="L10" s="936">
        <f>'Rainier Tower Financial '!B83</f>
        <v>105356939.837632</v>
      </c>
      <c r="M10" s="936">
        <f>'Rainier Tower Financial '!B82</f>
        <v>158035409.756448</v>
      </c>
      <c r="N10" s="936">
        <f>-'Rainier Tower Financial '!B80</f>
        <v>5973000</v>
      </c>
      <c r="O10" s="1025">
        <f>'Rainier Tower Financial '!B101</f>
        <v>0.17528214824556487</v>
      </c>
    </row>
    <row r="11" spans="2:21" ht="15.75" thickBot="1">
      <c r="B11" s="1188" t="s">
        <v>483</v>
      </c>
      <c r="C11" s="910">
        <v>942001050</v>
      </c>
      <c r="D11" s="937">
        <f>'Upper Cascade Financial'!B30+'Upper Cascade Financial'!B31</f>
        <v>631134.19999999995</v>
      </c>
      <c r="E11" s="932" t="str">
        <f>'Types of Development'!E7</f>
        <v>RES-Market-Rental</v>
      </c>
      <c r="F11" s="937">
        <f>'Market Research'!U10</f>
        <v>55600000</v>
      </c>
      <c r="G11" s="933">
        <f>'Upper Cascade Financial'!B22</f>
        <v>487</v>
      </c>
      <c r="H11" s="934">
        <f>'Upper Cascade Financial'!B21</f>
        <v>61453</v>
      </c>
      <c r="I11" s="935">
        <v>22</v>
      </c>
      <c r="J11" s="937">
        <f>'Upper Cascade Financial'!D48</f>
        <v>298456155.78947371</v>
      </c>
      <c r="K11" s="937">
        <f>'Upper Cascade Financial'!D48</f>
        <v>298456155.78947371</v>
      </c>
      <c r="L11" s="937">
        <f>'Upper Cascade Financial'!B83</f>
        <v>94430956.793520018</v>
      </c>
      <c r="M11" s="937">
        <f>'Upper Cascade Financial'!B82</f>
        <v>141646435.19028002</v>
      </c>
      <c r="N11" s="937">
        <f>-'Upper Cascade Financial'!B80</f>
        <v>6496000</v>
      </c>
      <c r="O11" s="1026">
        <f>'Upper Cascade Financial'!B101</f>
        <v>0.11413304531085666</v>
      </c>
    </row>
    <row r="12" spans="2:21" ht="16.5" thickBot="1">
      <c r="B12" s="912" t="s">
        <v>116</v>
      </c>
      <c r="C12" s="962"/>
      <c r="D12" s="913">
        <f>SUM(D5:D11)</f>
        <v>3424839.4000000004</v>
      </c>
      <c r="E12" s="963"/>
      <c r="F12" s="914">
        <f>SUM(F5:F11)</f>
        <v>301749000</v>
      </c>
      <c r="G12" s="914">
        <f>SUM(G5:G11)</f>
        <v>2673</v>
      </c>
      <c r="H12" s="915">
        <f>SUM(H5:H11)</f>
        <v>554637</v>
      </c>
      <c r="I12" s="963"/>
      <c r="J12" s="914">
        <f>SUM(J5:J11)</f>
        <v>1763564885.4912283</v>
      </c>
      <c r="K12" s="914">
        <f>SUM(K5:K11)</f>
        <v>1347577210.4501696</v>
      </c>
      <c r="L12" s="914">
        <f>SUM(L5:L11)</f>
        <v>538244652.09999597</v>
      </c>
      <c r="M12" s="914">
        <f>SUM(M5:M11)</f>
        <v>746953794.54449987</v>
      </c>
      <c r="N12" s="914">
        <f>SUM(N5:N11)</f>
        <v>30884000</v>
      </c>
      <c r="O12" s="916">
        <f>'All Components Draw'!B6</f>
        <v>0.20727556672912839</v>
      </c>
    </row>
    <row r="13" spans="2:21" ht="30.6" customHeight="1" thickBot="1">
      <c r="B13" s="685"/>
      <c r="C13" s="691"/>
      <c r="D13" s="718"/>
      <c r="E13" s="686"/>
      <c r="F13" s="687"/>
      <c r="G13" s="688"/>
      <c r="H13" s="689"/>
      <c r="I13" s="686"/>
      <c r="J13" s="687"/>
      <c r="K13" s="687"/>
      <c r="L13" s="687"/>
      <c r="M13" s="687"/>
      <c r="N13" s="690"/>
      <c r="O13" s="691"/>
    </row>
    <row r="14" spans="2:21" ht="23.25" customHeight="1" thickBot="1">
      <c r="B14" s="1249" t="s">
        <v>117</v>
      </c>
      <c r="C14" s="1250"/>
      <c r="D14" s="1250"/>
      <c r="E14" s="1250"/>
      <c r="F14" s="1250"/>
      <c r="G14" s="1250"/>
      <c r="H14" s="1250"/>
      <c r="I14" s="1250"/>
      <c r="J14" s="1251"/>
      <c r="K14" s="687"/>
    </row>
    <row r="15" spans="2:21" ht="34.700000000000003" customHeight="1">
      <c r="B15" s="938" t="s">
        <v>118</v>
      </c>
      <c r="C15" s="919" t="s">
        <v>119</v>
      </c>
      <c r="D15" s="918" t="s">
        <v>326</v>
      </c>
      <c r="E15" s="918" t="s">
        <v>469</v>
      </c>
      <c r="F15" s="918" t="s">
        <v>471</v>
      </c>
      <c r="G15" s="919" t="s">
        <v>327</v>
      </c>
      <c r="H15" s="918" t="s">
        <v>478</v>
      </c>
      <c r="I15" s="918" t="s">
        <v>341</v>
      </c>
      <c r="J15" s="920" t="s">
        <v>342</v>
      </c>
      <c r="K15" s="687"/>
    </row>
    <row r="16" spans="2:21" ht="15.75">
      <c r="B16" s="939" t="s">
        <v>120</v>
      </c>
      <c r="C16" s="1377">
        <f>SUM(D16:J16)</f>
        <v>5000000</v>
      </c>
      <c r="D16" s="936">
        <v>5000000</v>
      </c>
      <c r="E16" s="936">
        <v>0</v>
      </c>
      <c r="F16" s="936">
        <v>0</v>
      </c>
      <c r="G16" s="936">
        <v>0</v>
      </c>
      <c r="H16" s="936">
        <v>0</v>
      </c>
      <c r="I16" s="936">
        <v>0</v>
      </c>
      <c r="J16" s="943">
        <v>0</v>
      </c>
      <c r="K16" s="227"/>
    </row>
    <row r="17" spans="2:12" ht="15.75">
      <c r="B17" s="939" t="s">
        <v>121</v>
      </c>
      <c r="C17" s="1377">
        <f>SUM(D17:J17)</f>
        <v>5500000</v>
      </c>
      <c r="D17" s="936">
        <v>2000000</v>
      </c>
      <c r="E17" s="936">
        <v>1000000</v>
      </c>
      <c r="F17" s="936">
        <v>1000000</v>
      </c>
      <c r="G17" s="936">
        <v>1000000</v>
      </c>
      <c r="H17" s="936">
        <v>0</v>
      </c>
      <c r="I17" s="936">
        <v>500000</v>
      </c>
      <c r="J17" s="943">
        <v>0</v>
      </c>
      <c r="K17" s="227"/>
      <c r="L17" s="228"/>
    </row>
    <row r="18" spans="2:12" ht="15.75">
      <c r="B18" s="939" t="s">
        <v>440</v>
      </c>
      <c r="C18" s="1377">
        <f>SUM(D18:J18)</f>
        <v>6250000</v>
      </c>
      <c r="D18" s="936">
        <v>1000000</v>
      </c>
      <c r="E18" s="936">
        <v>1000000</v>
      </c>
      <c r="F18" s="936">
        <v>1000000</v>
      </c>
      <c r="G18" s="936">
        <v>1000000</v>
      </c>
      <c r="H18" s="936">
        <v>250000</v>
      </c>
      <c r="I18" s="936">
        <v>2000000</v>
      </c>
      <c r="J18" s="943">
        <v>0</v>
      </c>
      <c r="K18" s="228"/>
    </row>
    <row r="19" spans="2:12" ht="16.5" thickBot="1">
      <c r="B19" s="940" t="s">
        <v>441</v>
      </c>
      <c r="C19" s="1377">
        <f>SUM(D19:J19)</f>
        <v>7500000</v>
      </c>
      <c r="D19" s="944">
        <v>750000</v>
      </c>
      <c r="E19" s="944">
        <v>2000000</v>
      </c>
      <c r="F19" s="944">
        <v>2000000</v>
      </c>
      <c r="G19" s="944">
        <v>2000000</v>
      </c>
      <c r="H19" s="944">
        <v>250000</v>
      </c>
      <c r="I19" s="944">
        <v>500000</v>
      </c>
      <c r="J19" s="945">
        <v>0</v>
      </c>
      <c r="K19" s="228"/>
    </row>
    <row r="20" spans="2:12" ht="16.5" thickBot="1">
      <c r="B20" s="941" t="s">
        <v>122</v>
      </c>
      <c r="C20" s="913">
        <f>SUM(C16:C19)</f>
        <v>24250000</v>
      </c>
      <c r="D20" s="913">
        <f t="shared" ref="D20:G20" si="0">SUM(D16:D19)</f>
        <v>8750000</v>
      </c>
      <c r="E20" s="913">
        <f>SUM(E16:E19)</f>
        <v>4000000</v>
      </c>
      <c r="F20" s="913">
        <f t="shared" si="0"/>
        <v>4000000</v>
      </c>
      <c r="G20" s="913">
        <f t="shared" si="0"/>
        <v>4000000</v>
      </c>
      <c r="H20" s="913">
        <f>SUM(H16:H19)</f>
        <v>500000</v>
      </c>
      <c r="I20" s="913">
        <f>SUM(I16:I19)</f>
        <v>3000000</v>
      </c>
      <c r="J20" s="942">
        <f>SUM(J16:J19)</f>
        <v>0</v>
      </c>
      <c r="K20" s="227"/>
    </row>
    <row r="21" spans="2:12" ht="30" customHeight="1" thickBot="1"/>
    <row r="22" spans="2:12" ht="24" customHeight="1" thickBot="1">
      <c r="B22" s="1387" t="s">
        <v>123</v>
      </c>
      <c r="C22" s="1388"/>
      <c r="D22" s="1388"/>
      <c r="E22" s="1388"/>
      <c r="F22" s="1388"/>
      <c r="G22" s="1389"/>
    </row>
    <row r="23" spans="2:12" ht="68.45" customHeight="1">
      <c r="B23" s="1390" t="s">
        <v>102</v>
      </c>
      <c r="C23" s="956" t="s">
        <v>382</v>
      </c>
      <c r="D23" s="957" t="s">
        <v>124</v>
      </c>
      <c r="E23" s="958" t="s">
        <v>11</v>
      </c>
      <c r="F23" s="959" t="s">
        <v>125</v>
      </c>
      <c r="G23" s="1391" t="s">
        <v>126</v>
      </c>
    </row>
    <row r="24" spans="2:12" ht="35.1" customHeight="1">
      <c r="B24" s="946" t="str">
        <f>B5</f>
        <v>Courthouse Condos</v>
      </c>
      <c r="C24" s="947">
        <v>1</v>
      </c>
      <c r="D24" s="949" t="s">
        <v>323</v>
      </c>
      <c r="E24" s="951" t="s">
        <v>115</v>
      </c>
      <c r="F24" s="954" t="s">
        <v>324</v>
      </c>
      <c r="G24" s="1392" t="s">
        <v>325</v>
      </c>
    </row>
    <row r="25" spans="2:12" ht="35.1" customHeight="1">
      <c r="B25" s="946" t="str">
        <f>B6</f>
        <v>Yesler Hotel</v>
      </c>
      <c r="C25" s="947">
        <v>1</v>
      </c>
      <c r="D25" s="949" t="s">
        <v>323</v>
      </c>
      <c r="E25" s="952" t="s">
        <v>115</v>
      </c>
      <c r="F25" s="954" t="s">
        <v>324</v>
      </c>
      <c r="G25" s="1392" t="s">
        <v>325</v>
      </c>
    </row>
    <row r="26" spans="2:12" ht="35.1" customHeight="1">
      <c r="B26" s="946" t="str">
        <f>B7</f>
        <v>Lower Cascade Apts</v>
      </c>
      <c r="C26" s="947">
        <v>2</v>
      </c>
      <c r="D26" s="949" t="s">
        <v>388</v>
      </c>
      <c r="E26" s="953" t="s">
        <v>325</v>
      </c>
      <c r="F26" s="954" t="s">
        <v>394</v>
      </c>
      <c r="G26" s="1392" t="s">
        <v>395</v>
      </c>
    </row>
    <row r="27" spans="2:12" ht="35.1" customHeight="1">
      <c r="B27" s="946" t="str">
        <f>B8</f>
        <v>4th Street Site</v>
      </c>
      <c r="C27" s="947">
        <v>2</v>
      </c>
      <c r="D27" s="949" t="s">
        <v>388</v>
      </c>
      <c r="E27" s="953" t="s">
        <v>325</v>
      </c>
      <c r="F27" s="954" t="s">
        <v>396</v>
      </c>
      <c r="G27" s="1392" t="s">
        <v>397</v>
      </c>
    </row>
    <row r="28" spans="2:12" ht="35.1" customHeight="1">
      <c r="B28" s="946" t="str">
        <f>B9</f>
        <v>Chinook Condos</v>
      </c>
      <c r="C28" s="947">
        <v>2</v>
      </c>
      <c r="D28" s="949" t="s">
        <v>388</v>
      </c>
      <c r="E28" s="952" t="s">
        <v>115</v>
      </c>
      <c r="F28" s="954" t="s">
        <v>393</v>
      </c>
      <c r="G28" s="1392" t="s">
        <v>391</v>
      </c>
    </row>
    <row r="29" spans="2:12" ht="35.1" customHeight="1">
      <c r="B29" s="946" t="str">
        <f>B11</f>
        <v>Upper Cascade Apts</v>
      </c>
      <c r="C29" s="947">
        <v>3</v>
      </c>
      <c r="D29" s="949" t="s">
        <v>389</v>
      </c>
      <c r="E29" s="953" t="s">
        <v>391</v>
      </c>
      <c r="F29" s="954" t="s">
        <v>398</v>
      </c>
      <c r="G29" s="1392" t="s">
        <v>399</v>
      </c>
    </row>
    <row r="30" spans="2:12" ht="35.1" customHeight="1" thickBot="1">
      <c r="B30" s="948" t="str">
        <f>B10</f>
        <v>Rainier Tower Apts</v>
      </c>
      <c r="C30" s="960">
        <v>3</v>
      </c>
      <c r="D30" s="950" t="s">
        <v>390</v>
      </c>
      <c r="E30" s="961" t="s">
        <v>392</v>
      </c>
      <c r="F30" s="955" t="s">
        <v>400</v>
      </c>
      <c r="G30" s="1393" t="s">
        <v>401</v>
      </c>
    </row>
  </sheetData>
  <mergeCells count="3">
    <mergeCell ref="B22:G22"/>
    <mergeCell ref="B2:O3"/>
    <mergeCell ref="B14:J14"/>
  </mergeCells>
  <phoneticPr fontId="168" type="noConversion"/>
  <printOptions horizontalCentered="1" verticalCentered="1"/>
  <pageMargins left="0.25" right="0.25" top="0.75" bottom="0.75" header="0.3" footer="0.3"/>
  <pageSetup paperSize="3" scale="67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ignoredErrors>
    <ignoredError sqref="H20" formulaRange="1"/>
    <ignoredError sqref="F9 E1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AE8C2-2257-4B43-A4EE-DA28C5CEE083}">
  <sheetPr>
    <tabColor theme="2" tint="-0.249977111117893"/>
  </sheetPr>
  <dimension ref="B1:G12"/>
  <sheetViews>
    <sheetView zoomScale="75" zoomScaleNormal="75" workbookViewId="0">
      <selection activeCell="F26" sqref="F26"/>
    </sheetView>
  </sheetViews>
  <sheetFormatPr defaultRowHeight="15"/>
  <cols>
    <col min="2" max="4" width="22.85546875" customWidth="1"/>
    <col min="5" max="5" width="22.5703125" customWidth="1"/>
    <col min="6" max="6" width="19.85546875" customWidth="1"/>
    <col min="7" max="7" width="19.5703125" customWidth="1"/>
  </cols>
  <sheetData>
    <row r="1" spans="2:7" ht="15.75" thickBot="1"/>
    <row r="2" spans="2:7" ht="15.75" thickBot="1">
      <c r="B2" s="1252" t="s">
        <v>127</v>
      </c>
      <c r="C2" s="1253"/>
      <c r="D2" s="1253"/>
      <c r="E2" s="1253"/>
      <c r="F2" s="1253"/>
      <c r="G2" s="1254"/>
    </row>
    <row r="3" spans="2:7" ht="45">
      <c r="B3" s="194" t="s">
        <v>128</v>
      </c>
      <c r="C3" s="193" t="s">
        <v>129</v>
      </c>
      <c r="D3" s="193" t="s">
        <v>130</v>
      </c>
      <c r="E3" s="193" t="s">
        <v>131</v>
      </c>
      <c r="F3" s="195" t="s">
        <v>132</v>
      </c>
      <c r="G3" s="222" t="s">
        <v>133</v>
      </c>
    </row>
    <row r="4" spans="2:7" ht="45" customHeight="1">
      <c r="B4" s="265" t="s">
        <v>134</v>
      </c>
      <c r="C4" s="266" t="s">
        <v>135</v>
      </c>
      <c r="D4" s="267" t="s">
        <v>136</v>
      </c>
      <c r="E4" s="267" t="s">
        <v>137</v>
      </c>
      <c r="F4" s="268">
        <v>0.3</v>
      </c>
      <c r="G4" s="223" t="s">
        <v>138</v>
      </c>
    </row>
    <row r="5" spans="2:7" ht="45" customHeight="1">
      <c r="B5" s="265" t="s">
        <v>139</v>
      </c>
      <c r="C5" s="267" t="s">
        <v>140</v>
      </c>
      <c r="D5" s="267" t="s">
        <v>141</v>
      </c>
      <c r="E5" s="266" t="s">
        <v>142</v>
      </c>
      <c r="F5" s="269">
        <v>0.2</v>
      </c>
      <c r="G5" s="224" t="s">
        <v>143</v>
      </c>
    </row>
    <row r="6" spans="2:7" ht="64.7" customHeight="1">
      <c r="B6" s="265" t="s">
        <v>144</v>
      </c>
      <c r="C6" s="267" t="s">
        <v>145</v>
      </c>
      <c r="D6" s="267" t="s">
        <v>146</v>
      </c>
      <c r="E6" s="266" t="s">
        <v>4</v>
      </c>
      <c r="F6" s="269">
        <v>0.3</v>
      </c>
      <c r="G6" s="224" t="s">
        <v>138</v>
      </c>
    </row>
    <row r="7" spans="2:7" ht="45" customHeight="1">
      <c r="B7" s="265" t="s">
        <v>147</v>
      </c>
      <c r="C7" s="267" t="s">
        <v>145</v>
      </c>
      <c r="D7" s="267" t="s">
        <v>141</v>
      </c>
      <c r="E7" s="267" t="s">
        <v>148</v>
      </c>
      <c r="F7" s="268" t="s">
        <v>149</v>
      </c>
      <c r="G7" s="223" t="s">
        <v>150</v>
      </c>
    </row>
    <row r="8" spans="2:7" ht="45" customHeight="1">
      <c r="B8" s="265" t="s">
        <v>151</v>
      </c>
      <c r="C8" s="267" t="s">
        <v>152</v>
      </c>
      <c r="D8" s="267" t="s">
        <v>141</v>
      </c>
      <c r="E8" s="266" t="s">
        <v>153</v>
      </c>
      <c r="F8" s="268" t="s">
        <v>154</v>
      </c>
      <c r="G8" s="225" t="s">
        <v>155</v>
      </c>
    </row>
    <row r="9" spans="2:7" ht="45" customHeight="1">
      <c r="B9" s="265" t="s">
        <v>156</v>
      </c>
      <c r="C9" s="266" t="s">
        <v>157</v>
      </c>
      <c r="D9" s="267" t="s">
        <v>141</v>
      </c>
      <c r="E9" s="266" t="s">
        <v>158</v>
      </c>
      <c r="F9" s="269">
        <v>0.3</v>
      </c>
      <c r="G9" s="224" t="s">
        <v>138</v>
      </c>
    </row>
    <row r="10" spans="2:7" ht="45" customHeight="1" thickBot="1">
      <c r="B10" s="270" t="s">
        <v>159</v>
      </c>
      <c r="C10" s="271" t="s">
        <v>152</v>
      </c>
      <c r="D10" s="271" t="s">
        <v>141</v>
      </c>
      <c r="E10" s="272" t="s">
        <v>160</v>
      </c>
      <c r="F10" s="273">
        <v>0.3</v>
      </c>
      <c r="G10" s="274" t="s">
        <v>138</v>
      </c>
    </row>
    <row r="11" spans="2:7" ht="37.35" customHeight="1" thickBot="1">
      <c r="B11" s="275" t="s">
        <v>161</v>
      </c>
      <c r="C11" s="271" t="s">
        <v>162</v>
      </c>
      <c r="D11" s="271" t="s">
        <v>146</v>
      </c>
      <c r="E11" s="272" t="s">
        <v>413</v>
      </c>
      <c r="F11" s="273">
        <v>0.3</v>
      </c>
      <c r="G11" s="274" t="s">
        <v>138</v>
      </c>
    </row>
    <row r="12" spans="2:7" ht="63" customHeight="1" thickBot="1">
      <c r="B12" s="275" t="s">
        <v>163</v>
      </c>
      <c r="C12" s="271" t="s">
        <v>164</v>
      </c>
      <c r="D12" s="271" t="s">
        <v>165</v>
      </c>
      <c r="E12" s="272" t="s">
        <v>166</v>
      </c>
      <c r="F12" s="276" t="s">
        <v>167</v>
      </c>
      <c r="G12" s="223" t="s">
        <v>150</v>
      </c>
    </row>
  </sheetData>
  <mergeCells count="1">
    <mergeCell ref="B2:G2"/>
  </mergeCells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2287-3E5C-4F33-AA71-912F767EADC7}">
  <sheetPr>
    <tabColor theme="6" tint="-0.249977111117893"/>
    <pageSetUpPr fitToPage="1"/>
  </sheetPr>
  <dimension ref="A1:J87"/>
  <sheetViews>
    <sheetView showGridLines="0" zoomScaleNormal="100" zoomScaleSheetLayoutView="90" workbookViewId="0">
      <selection activeCell="C38" sqref="C38"/>
    </sheetView>
  </sheetViews>
  <sheetFormatPr defaultColWidth="8.85546875" defaultRowHeight="23.25" customHeight="1"/>
  <cols>
    <col min="1" max="1" width="36.5703125" style="21" bestFit="1" customWidth="1"/>
    <col min="2" max="2" width="27.28515625" style="21" customWidth="1"/>
    <col min="3" max="3" width="29.28515625" style="21" customWidth="1"/>
    <col min="4" max="4" width="15.140625" style="21" customWidth="1"/>
    <col min="5" max="5" width="18.140625" style="21" bestFit="1" customWidth="1"/>
    <col min="6" max="6" width="26.140625" style="21" customWidth="1"/>
    <col min="7" max="7" width="13.42578125" style="21" bestFit="1" customWidth="1"/>
    <col min="8" max="8" width="11.85546875" style="21" customWidth="1"/>
    <col min="9" max="9" width="8.42578125" style="21" customWidth="1"/>
    <col min="10" max="10" width="9.140625" style="21" customWidth="1"/>
    <col min="11" max="16384" width="8.85546875" style="21"/>
  </cols>
  <sheetData>
    <row r="1" spans="1:6" ht="23.25" customHeight="1" thickBot="1">
      <c r="A1" s="17"/>
      <c r="B1" s="18"/>
      <c r="C1" s="19"/>
      <c r="D1" s="20"/>
    </row>
    <row r="2" spans="1:6" ht="23.25" customHeight="1" thickBot="1">
      <c r="A2" s="1255" t="s">
        <v>168</v>
      </c>
      <c r="B2" s="1256"/>
      <c r="C2" s="1256"/>
      <c r="D2" s="1260" t="str">
        <f>'Development Program'!B5</f>
        <v>Courthouse Condos</v>
      </c>
      <c r="E2" s="1260"/>
      <c r="F2" s="1261"/>
    </row>
    <row r="3" spans="1:6" ht="23.25" customHeight="1" thickBot="1">
      <c r="A3" s="870"/>
      <c r="B3" s="871"/>
      <c r="C3" s="871"/>
      <c r="D3" s="872">
        <v>0</v>
      </c>
      <c r="E3" s="873" t="s">
        <v>169</v>
      </c>
      <c r="F3" s="874"/>
    </row>
    <row r="4" spans="1:6" ht="13.5" thickBot="1">
      <c r="A4" s="24" t="s">
        <v>287</v>
      </c>
      <c r="B4" s="25" t="s">
        <v>171</v>
      </c>
      <c r="C4" s="25" t="s">
        <v>288</v>
      </c>
      <c r="D4" s="25" t="s">
        <v>379</v>
      </c>
      <c r="E4" s="25" t="s">
        <v>289</v>
      </c>
      <c r="F4" s="25" t="s">
        <v>290</v>
      </c>
    </row>
    <row r="5" spans="1:6" ht="21" customHeight="1">
      <c r="A5" s="987">
        <f>B5/B10</f>
        <v>0.20689655172413793</v>
      </c>
      <c r="B5" s="988">
        <v>108</v>
      </c>
      <c r="C5" s="988">
        <f>Assumptions!G11</f>
        <v>500</v>
      </c>
      <c r="D5" s="988">
        <f>E5*C5</f>
        <v>525000</v>
      </c>
      <c r="E5" s="989">
        <v>1050</v>
      </c>
      <c r="F5" s="990">
        <f>B5*C5*E5</f>
        <v>56700000</v>
      </c>
    </row>
    <row r="6" spans="1:6" ht="23.25" customHeight="1">
      <c r="A6" s="991">
        <f>B6/B10</f>
        <v>0.46551724137931033</v>
      </c>
      <c r="B6" s="856">
        <v>243</v>
      </c>
      <c r="C6" s="856">
        <f>Assumptions!G14</f>
        <v>750</v>
      </c>
      <c r="D6" s="856">
        <f t="shared" ref="D6:D8" si="0">E6*C6</f>
        <v>768750</v>
      </c>
      <c r="E6" s="282">
        <v>1025</v>
      </c>
      <c r="F6" s="992">
        <f>B6*C6*E6</f>
        <v>186806250</v>
      </c>
    </row>
    <row r="7" spans="1:6" ht="23.25" customHeight="1">
      <c r="A7" s="993">
        <f>B7/B10</f>
        <v>0.22413793103448276</v>
      </c>
      <c r="B7" s="856">
        <v>117</v>
      </c>
      <c r="C7" s="856">
        <f>Assumptions!G17</f>
        <v>1100</v>
      </c>
      <c r="D7" s="856">
        <f t="shared" si="0"/>
        <v>1100000</v>
      </c>
      <c r="E7" s="282">
        <v>1000</v>
      </c>
      <c r="F7" s="992">
        <f>B7*C7*E7</f>
        <v>128700000</v>
      </c>
    </row>
    <row r="8" spans="1:6" ht="23.25" customHeight="1">
      <c r="A8" s="857">
        <f>B8/B10</f>
        <v>0.10344827586206896</v>
      </c>
      <c r="B8" s="281">
        <v>54</v>
      </c>
      <c r="C8" s="856">
        <f>Assumptions!G20</f>
        <v>1500</v>
      </c>
      <c r="D8" s="856">
        <f t="shared" si="0"/>
        <v>1462500</v>
      </c>
      <c r="E8" s="282">
        <v>975</v>
      </c>
      <c r="F8" s="858">
        <f>B8*C8*E8</f>
        <v>78975000</v>
      </c>
    </row>
    <row r="9" spans="1:6" ht="13.5" thickBot="1">
      <c r="A9" s="284"/>
      <c r="B9" s="281"/>
      <c r="C9" s="281"/>
      <c r="D9" s="281"/>
      <c r="E9" s="286"/>
      <c r="F9" s="859"/>
    </row>
    <row r="10" spans="1:6" ht="14.25" thickTop="1" thickBot="1">
      <c r="A10" s="27" t="s">
        <v>176</v>
      </c>
      <c r="B10" s="28">
        <f>SUM(B5:B8)</f>
        <v>522</v>
      </c>
      <c r="C10" s="29">
        <f>B5*C5 + B6*C6 + B7*C7 + B8*C8  + B9*C9</f>
        <v>445950</v>
      </c>
      <c r="D10" s="29"/>
      <c r="E10" s="29"/>
      <c r="F10" s="860">
        <f>SUM(F6:F9)</f>
        <v>394481250</v>
      </c>
    </row>
    <row r="11" spans="1:6" ht="14.25" thickTop="1" thickBot="1">
      <c r="A11" s="31" t="s">
        <v>177</v>
      </c>
      <c r="B11" s="965"/>
      <c r="C11" s="33">
        <f>C10/B10</f>
        <v>854.31034482758616</v>
      </c>
      <c r="D11" s="33"/>
      <c r="E11" s="34">
        <f>(F10)/C10</f>
        <v>884.58627648839558</v>
      </c>
      <c r="F11" s="964"/>
    </row>
    <row r="12" spans="1:6" ht="12.75">
      <c r="A12" s="36"/>
      <c r="B12" s="37"/>
      <c r="C12" s="38"/>
      <c r="D12" s="39"/>
    </row>
    <row r="13" spans="1:6" ht="12.75">
      <c r="A13" s="969" t="s">
        <v>178</v>
      </c>
      <c r="B13" s="970" t="s">
        <v>179</v>
      </c>
      <c r="C13" s="970" t="s">
        <v>180</v>
      </c>
      <c r="D13" s="971" t="s">
        <v>174</v>
      </c>
    </row>
    <row r="14" spans="1:6" ht="12.75">
      <c r="A14" s="972" t="s">
        <v>5</v>
      </c>
      <c r="B14" s="290">
        <v>49721</v>
      </c>
      <c r="C14" s="478">
        <f>Assumptions!I7</f>
        <v>37</v>
      </c>
      <c r="D14" s="291">
        <f>B14*C14</f>
        <v>1839677</v>
      </c>
    </row>
    <row r="15" spans="1:6" ht="13.5" thickBot="1">
      <c r="A15" s="973" t="s">
        <v>4</v>
      </c>
      <c r="B15" s="293">
        <v>0</v>
      </c>
      <c r="C15" s="479">
        <f>Assumptions!I110</f>
        <v>0</v>
      </c>
      <c r="D15" s="295">
        <f>B15*C15</f>
        <v>0</v>
      </c>
    </row>
    <row r="16" spans="1:6" ht="13.5" thickTop="1">
      <c r="A16" s="974" t="s">
        <v>181</v>
      </c>
      <c r="B16" s="975">
        <f>SUM(B14:B15)</f>
        <v>49721</v>
      </c>
      <c r="C16" s="42">
        <f>IF(B16=0,0,D16/B16)</f>
        <v>37</v>
      </c>
      <c r="D16" s="43">
        <f>SUM(D14:D15)</f>
        <v>1839677</v>
      </c>
      <c r="E16" s="44"/>
    </row>
    <row r="17" spans="1:10" ht="12.75" customHeight="1">
      <c r="A17" s="976" t="s">
        <v>182</v>
      </c>
      <c r="B17" s="977"/>
      <c r="D17" s="966"/>
      <c r="J17" s="614"/>
    </row>
    <row r="18" spans="1:10" ht="12.75">
      <c r="A18" s="978" t="s">
        <v>291</v>
      </c>
      <c r="B18" s="979">
        <v>0</v>
      </c>
      <c r="C18" s="967" t="s">
        <v>473</v>
      </c>
      <c r="D18" s="966"/>
    </row>
    <row r="19" spans="1:10" ht="13.5" thickBot="1">
      <c r="A19" s="980" t="s">
        <v>292</v>
      </c>
      <c r="B19" s="979">
        <v>0</v>
      </c>
      <c r="C19" s="966"/>
      <c r="D19" s="966"/>
    </row>
    <row r="20" spans="1:10" ht="13.5" thickTop="1">
      <c r="A20" s="974" t="s">
        <v>185</v>
      </c>
      <c r="B20" s="981">
        <f>SUM(B18:B19)</f>
        <v>0</v>
      </c>
      <c r="C20" s="966"/>
      <c r="D20" s="966"/>
      <c r="I20" s="21" t="s">
        <v>380</v>
      </c>
    </row>
    <row r="21" spans="1:10" ht="12.75">
      <c r="A21" s="968" t="s">
        <v>186</v>
      </c>
      <c r="B21" s="22" t="str">
        <f>D2</f>
        <v>Courthouse Condos</v>
      </c>
      <c r="C21" s="49"/>
      <c r="D21" s="49"/>
      <c r="E21" s="49"/>
    </row>
    <row r="22" spans="1:10" ht="12.75">
      <c r="A22" s="301" t="s">
        <v>187</v>
      </c>
      <c r="B22" s="302">
        <f>'Development Program'!D5</f>
        <v>495671</v>
      </c>
      <c r="C22" s="50"/>
      <c r="D22" s="51"/>
      <c r="E22" s="49"/>
    </row>
    <row r="23" spans="1:10" ht="12.75">
      <c r="A23" s="301" t="s">
        <v>293</v>
      </c>
      <c r="B23" s="302">
        <f>C10+B14</f>
        <v>495671</v>
      </c>
      <c r="C23" s="50"/>
      <c r="D23" s="51"/>
      <c r="E23" s="49"/>
    </row>
    <row r="24" spans="1:10" ht="12.75">
      <c r="A24" s="480">
        <v>400</v>
      </c>
      <c r="B24" s="302">
        <f>B19*A24</f>
        <v>0</v>
      </c>
      <c r="C24" s="50"/>
      <c r="D24" s="51"/>
      <c r="E24" s="49"/>
    </row>
    <row r="25" spans="1:10" ht="12.75">
      <c r="A25" s="431">
        <v>0.05</v>
      </c>
      <c r="B25" s="302">
        <f>(1+A25)*(B23+B24)</f>
        <v>520454.55000000005</v>
      </c>
      <c r="C25" s="50"/>
      <c r="D25" s="51"/>
      <c r="E25" s="49"/>
    </row>
    <row r="26" spans="1:10" ht="13.5" thickBot="1">
      <c r="A26" s="432">
        <v>2</v>
      </c>
      <c r="B26" s="306">
        <f>B25/A26</f>
        <v>260227.27500000002</v>
      </c>
      <c r="C26" s="50"/>
      <c r="D26" s="51"/>
      <c r="E26" s="49"/>
    </row>
    <row r="27" spans="1:10" ht="15" customHeight="1" thickBot="1">
      <c r="A27" s="1257" t="s">
        <v>294</v>
      </c>
      <c r="B27" s="1258"/>
      <c r="C27" s="1258"/>
      <c r="D27" s="1259"/>
      <c r="E27" s="49"/>
    </row>
    <row r="28" spans="1:10" ht="13.5" thickBot="1">
      <c r="A28" s="307" t="s">
        <v>190</v>
      </c>
      <c r="B28" s="308" t="s">
        <v>191</v>
      </c>
      <c r="C28" s="308" t="s">
        <v>192</v>
      </c>
      <c r="D28" s="309" t="s">
        <v>295</v>
      </c>
      <c r="E28" s="49"/>
    </row>
    <row r="29" spans="1:10" ht="12.75">
      <c r="A29" s="357" t="s">
        <v>235</v>
      </c>
      <c r="B29" s="311">
        <f>D29/B10</f>
        <v>755711.20689655177</v>
      </c>
      <c r="C29" s="481">
        <f>D29/C10</f>
        <v>884.58627648839558</v>
      </c>
      <c r="D29" s="52">
        <f>F10</f>
        <v>394481250</v>
      </c>
      <c r="E29" s="49"/>
    </row>
    <row r="30" spans="1:10" ht="13.5" thickBot="1">
      <c r="A30" s="482">
        <v>0.04</v>
      </c>
      <c r="B30" s="1262"/>
      <c r="C30" s="1263"/>
      <c r="D30" s="53">
        <f>-0.04*D29</f>
        <v>-15779250</v>
      </c>
      <c r="E30" s="49"/>
    </row>
    <row r="31" spans="1:10" ht="14.25" thickTop="1" thickBot="1">
      <c r="A31" s="1270" t="s">
        <v>236</v>
      </c>
      <c r="B31" s="1271"/>
      <c r="C31" s="1272"/>
      <c r="D31" s="982">
        <f>D29+D30</f>
        <v>378702000</v>
      </c>
      <c r="E31" s="49"/>
    </row>
    <row r="32" spans="1:10" ht="13.5" thickBot="1">
      <c r="A32" s="1266" t="s">
        <v>210</v>
      </c>
      <c r="B32" s="1267"/>
      <c r="C32" s="1268" t="str">
        <f>D2</f>
        <v>Courthouse Condos</v>
      </c>
      <c r="D32" s="1269"/>
    </row>
    <row r="33" spans="1:5" ht="13.5" thickBot="1">
      <c r="A33" s="968"/>
      <c r="B33" s="65" t="s">
        <v>211</v>
      </c>
      <c r="C33" s="65" t="s">
        <v>212</v>
      </c>
      <c r="D33" s="65" t="s">
        <v>191</v>
      </c>
    </row>
    <row r="34" spans="1:5" ht="12.75">
      <c r="A34" s="1191" t="s">
        <v>213</v>
      </c>
      <c r="B34" s="800">
        <f>Assumptions!I24</f>
        <v>248</v>
      </c>
      <c r="C34" s="1067">
        <f>B34*(C10)</f>
        <v>110595600</v>
      </c>
      <c r="D34" s="331">
        <f>C34/B$10</f>
        <v>211868.96551724139</v>
      </c>
    </row>
    <row r="35" spans="1:5" ht="12.75">
      <c r="A35" s="625" t="s">
        <v>292</v>
      </c>
      <c r="B35" s="795">
        <f>Assumptions!D30</f>
        <v>36000</v>
      </c>
      <c r="C35" s="1068">
        <f>B19*B35</f>
        <v>0</v>
      </c>
      <c r="D35" s="331">
        <f t="shared" ref="D35:D53" si="1">C35/B$10</f>
        <v>0</v>
      </c>
    </row>
    <row r="36" spans="1:5" ht="12.75">
      <c r="A36" s="625" t="s">
        <v>59</v>
      </c>
      <c r="B36" s="796">
        <v>0.1</v>
      </c>
      <c r="C36" s="1068">
        <f>B36*C34</f>
        <v>11059560</v>
      </c>
      <c r="D36" s="331">
        <f t="shared" si="1"/>
        <v>21186.896551724138</v>
      </c>
    </row>
    <row r="37" spans="1:5" ht="12.75">
      <c r="A37" s="625" t="s">
        <v>11</v>
      </c>
      <c r="B37" s="796">
        <v>4</v>
      </c>
      <c r="C37" s="1068">
        <f>B37*B14</f>
        <v>198884</v>
      </c>
      <c r="D37" s="331">
        <f t="shared" si="1"/>
        <v>381.0038314176245</v>
      </c>
    </row>
    <row r="38" spans="1:5" ht="12.75">
      <c r="A38" s="625" t="s">
        <v>215</v>
      </c>
      <c r="B38" s="796" t="s">
        <v>279</v>
      </c>
      <c r="C38" s="1068">
        <f>'Market Research'!U6</f>
        <v>55000000</v>
      </c>
      <c r="D38" s="331">
        <f t="shared" si="1"/>
        <v>105363.98467432951</v>
      </c>
    </row>
    <row r="39" spans="1:5" ht="12.75">
      <c r="A39" s="625" t="s">
        <v>62</v>
      </c>
      <c r="B39" s="801">
        <v>3000</v>
      </c>
      <c r="C39" s="1068">
        <f>B10*B39</f>
        <v>1566000</v>
      </c>
      <c r="D39" s="331">
        <f t="shared" si="1"/>
        <v>3000</v>
      </c>
    </row>
    <row r="40" spans="1:5" ht="12.75">
      <c r="A40" s="625" t="s">
        <v>217</v>
      </c>
      <c r="B40" s="802" t="s">
        <v>218</v>
      </c>
      <c r="C40" s="1068">
        <f>'Development Program'!D20</f>
        <v>8750000</v>
      </c>
      <c r="D40" s="331">
        <f t="shared" si="1"/>
        <v>16762.452107279692</v>
      </c>
    </row>
    <row r="41" spans="1:5" ht="12.75">
      <c r="A41" s="1192" t="s">
        <v>66</v>
      </c>
      <c r="B41" s="802" t="s">
        <v>67</v>
      </c>
      <c r="C41" s="1068">
        <v>1500000</v>
      </c>
      <c r="D41" s="331">
        <f t="shared" si="1"/>
        <v>2873.5632183908046</v>
      </c>
    </row>
    <row r="42" spans="1:5" ht="12.75">
      <c r="A42" s="1192" t="s">
        <v>68</v>
      </c>
      <c r="B42" s="803">
        <v>0.01</v>
      </c>
      <c r="C42" s="1068">
        <f>B42*C38</f>
        <v>550000</v>
      </c>
      <c r="D42" s="331">
        <f t="shared" si="1"/>
        <v>1053.639846743295</v>
      </c>
      <c r="E42" s="68"/>
    </row>
    <row r="43" spans="1:5" ht="12.75">
      <c r="A43" s="1192" t="s">
        <v>69</v>
      </c>
      <c r="B43" s="798">
        <v>0.03</v>
      </c>
      <c r="C43" s="332">
        <f>B43*(C34+C36)</f>
        <v>3649654.8</v>
      </c>
      <c r="D43" s="331">
        <f t="shared" si="1"/>
        <v>6991.6758620689652</v>
      </c>
    </row>
    <row r="44" spans="1:5" ht="12.75">
      <c r="A44" s="1192" t="s">
        <v>71</v>
      </c>
      <c r="B44" s="804">
        <v>0.03</v>
      </c>
      <c r="C44" s="332">
        <f>B44*SUM(C34:C43)</f>
        <v>5786090.9639999997</v>
      </c>
      <c r="D44" s="331">
        <f t="shared" si="1"/>
        <v>11084.465448275861</v>
      </c>
    </row>
    <row r="45" spans="1:5" ht="12.75">
      <c r="A45" s="1192" t="s">
        <v>73</v>
      </c>
      <c r="B45" s="798">
        <v>0.02</v>
      </c>
      <c r="C45" s="332">
        <f>B45*(C34+C36)</f>
        <v>2433103.2000000002</v>
      </c>
      <c r="D45" s="331">
        <f t="shared" si="1"/>
        <v>4661.1172413793111</v>
      </c>
    </row>
    <row r="46" spans="1:5" ht="12.75">
      <c r="A46" s="1192" t="s">
        <v>219</v>
      </c>
      <c r="B46" s="798" t="s">
        <v>444</v>
      </c>
      <c r="C46" s="332">
        <f>0.00883*C38</f>
        <v>485649.99999999994</v>
      </c>
      <c r="D46" s="331">
        <f t="shared" si="1"/>
        <v>930.36398467432934</v>
      </c>
    </row>
    <row r="47" spans="1:5" ht="12.75">
      <c r="A47" s="1192" t="s">
        <v>77</v>
      </c>
      <c r="B47" s="1069">
        <v>2</v>
      </c>
      <c r="C47" s="332">
        <f>B47*B22</f>
        <v>991342</v>
      </c>
      <c r="D47" s="331">
        <f t="shared" si="1"/>
        <v>1899.1226053639846</v>
      </c>
    </row>
    <row r="48" spans="1:5" ht="12.75">
      <c r="A48" s="1192" t="s">
        <v>79</v>
      </c>
      <c r="B48" s="1069">
        <v>1</v>
      </c>
      <c r="C48" s="332">
        <f>B48*B22</f>
        <v>495671</v>
      </c>
      <c r="D48" s="331">
        <f t="shared" si="1"/>
        <v>949.56130268199229</v>
      </c>
    </row>
    <row r="49" spans="1:7" ht="12.75">
      <c r="A49" s="1192" t="s">
        <v>296</v>
      </c>
      <c r="B49" s="799" t="s">
        <v>477</v>
      </c>
      <c r="C49" s="332">
        <v>1173321</v>
      </c>
      <c r="D49" s="331">
        <f t="shared" si="1"/>
        <v>2247.7413793103447</v>
      </c>
      <c r="E49" s="1264" t="s">
        <v>280</v>
      </c>
      <c r="F49" s="1265"/>
      <c r="G49" s="614">
        <f>0.15*G53</f>
        <v>1190904.4070890557</v>
      </c>
    </row>
    <row r="50" spans="1:7" ht="12.75">
      <c r="A50" s="1192" t="s">
        <v>220</v>
      </c>
      <c r="B50" s="800">
        <v>75</v>
      </c>
      <c r="C50" s="332">
        <f>B50*(B16)</f>
        <v>3729075</v>
      </c>
      <c r="D50" s="331">
        <v>0</v>
      </c>
    </row>
    <row r="51" spans="1:7" ht="12.75">
      <c r="A51" s="1192" t="s">
        <v>221</v>
      </c>
      <c r="B51" s="805">
        <v>0.06</v>
      </c>
      <c r="C51" s="1068">
        <f>B51*D14*5</f>
        <v>551903.1</v>
      </c>
      <c r="D51" s="67">
        <f t="shared" si="1"/>
        <v>1057.2856321839081</v>
      </c>
    </row>
    <row r="52" spans="1:7" ht="12.75">
      <c r="A52" s="1192" t="s">
        <v>83</v>
      </c>
      <c r="B52" s="806">
        <v>1.4999999999999999E-2</v>
      </c>
      <c r="C52" s="332">
        <v>1966935</v>
      </c>
      <c r="D52" s="331">
        <f t="shared" si="1"/>
        <v>3768.0747126436781</v>
      </c>
      <c r="E52" s="1264" t="s">
        <v>280</v>
      </c>
      <c r="F52" s="1265"/>
      <c r="G52" s="74">
        <f>B65*B52</f>
        <v>1984840.6784817597</v>
      </c>
    </row>
    <row r="53" spans="1:7" ht="12.75">
      <c r="A53" s="1193" t="s">
        <v>84</v>
      </c>
      <c r="B53" s="806">
        <v>0.06</v>
      </c>
      <c r="C53" s="332">
        <v>7871520</v>
      </c>
      <c r="D53" s="331">
        <f t="shared" si="1"/>
        <v>15079.540229885057</v>
      </c>
      <c r="E53" s="1264" t="s">
        <v>280</v>
      </c>
      <c r="F53" s="1265"/>
      <c r="G53" s="87">
        <f>B53*B65</f>
        <v>7939362.7139270389</v>
      </c>
    </row>
    <row r="54" spans="1:7" ht="12.75">
      <c r="A54" s="1194" t="s">
        <v>223</v>
      </c>
      <c r="B54" s="806" t="s">
        <v>442</v>
      </c>
      <c r="C54" s="1185">
        <f>0.01*SUM(C34:C53)</f>
        <v>2183543.1006399998</v>
      </c>
      <c r="D54" s="862">
        <f>C54/B$10</f>
        <v>4183.0327598467429</v>
      </c>
    </row>
    <row r="55" spans="1:7" ht="13.5" thickBot="1">
      <c r="A55" s="865" t="s">
        <v>224</v>
      </c>
      <c r="B55" s="866"/>
      <c r="C55" s="867">
        <f>SUM(C34:C54)</f>
        <v>220537853.16463998</v>
      </c>
      <c r="D55" s="867">
        <f>ROUND(C55/B10,-3)</f>
        <v>422000</v>
      </c>
    </row>
    <row r="56" spans="1:7" ht="13.5" thickTop="1">
      <c r="A56" s="863"/>
      <c r="B56" s="864"/>
    </row>
    <row r="57" spans="1:7" ht="12.75">
      <c r="A57" s="341" t="s">
        <v>226</v>
      </c>
      <c r="B57" s="342">
        <f>(D31/C55)-1</f>
        <v>0.71717460093929719</v>
      </c>
      <c r="C57" s="73"/>
      <c r="D57" s="74"/>
      <c r="F57" s="703"/>
    </row>
    <row r="58" spans="1:7" ht="13.5" thickBot="1">
      <c r="A58" s="983">
        <v>0.3</v>
      </c>
      <c r="B58" s="344">
        <f>(D31/(1+A58))</f>
        <v>291309230.76923078</v>
      </c>
      <c r="F58" s="703"/>
    </row>
    <row r="59" spans="1:7" ht="13.5" thickBot="1">
      <c r="A59" s="984">
        <v>0.3</v>
      </c>
      <c r="B59" s="985">
        <f>ROUND((D31/(1+A59))-C55,-3)</f>
        <v>70771000</v>
      </c>
      <c r="C59" s="75" t="s">
        <v>227</v>
      </c>
      <c r="D59" s="87"/>
      <c r="E59" s="87"/>
      <c r="F59" s="703"/>
    </row>
    <row r="60" spans="1:7" ht="12.75">
      <c r="A60" s="76"/>
      <c r="B60" s="77"/>
    </row>
    <row r="61" spans="1:7" ht="12.75">
      <c r="A61" s="1273" t="s">
        <v>228</v>
      </c>
      <c r="B61" s="1274"/>
      <c r="C61" s="994" t="str">
        <f>D2</f>
        <v>Courthouse Condos</v>
      </c>
      <c r="F61" s="703"/>
    </row>
    <row r="62" spans="1:7" ht="12.75" customHeight="1">
      <c r="A62" s="484"/>
      <c r="B62" s="257" t="s">
        <v>229</v>
      </c>
      <c r="C62" s="257" t="s">
        <v>191</v>
      </c>
      <c r="F62" s="703"/>
      <c r="G62" s="74"/>
    </row>
    <row r="63" spans="1:7" ht="12.95" customHeight="1">
      <c r="A63" s="485" t="s">
        <v>230</v>
      </c>
      <c r="B63" s="288">
        <f>IF(B59&lt;0,B59,0)</f>
        <v>0</v>
      </c>
      <c r="C63" s="288">
        <f>B63/B10</f>
        <v>0</v>
      </c>
      <c r="G63" s="87"/>
    </row>
    <row r="64" spans="1:7" ht="12.75">
      <c r="A64" s="485" t="s">
        <v>231</v>
      </c>
      <c r="B64" s="288">
        <f>C55+B63</f>
        <v>220537853.16463998</v>
      </c>
      <c r="C64" s="288">
        <f>B64/B10</f>
        <v>422486.30874452105</v>
      </c>
    </row>
    <row r="65" spans="1:5" ht="12.75">
      <c r="A65" s="486">
        <f>Assumptions!K17</f>
        <v>0.6</v>
      </c>
      <c r="B65" s="331">
        <f>A65*C55</f>
        <v>132322711.89878398</v>
      </c>
      <c r="C65" s="317">
        <f>B65/B10</f>
        <v>253491.78524671262</v>
      </c>
    </row>
    <row r="66" spans="1:5" ht="12.75">
      <c r="A66" s="487">
        <f>1-A65</f>
        <v>0.4</v>
      </c>
      <c r="B66" s="331">
        <f>A66*C55</f>
        <v>88215141.265855998</v>
      </c>
      <c r="C66" s="317">
        <f>B66/B10</f>
        <v>168994.52349780843</v>
      </c>
      <c r="D66" s="74"/>
    </row>
    <row r="67" spans="1:5" ht="12.75">
      <c r="A67" s="488" t="s">
        <v>232</v>
      </c>
      <c r="B67" s="714">
        <f>B65+B66</f>
        <v>220537853.16463998</v>
      </c>
      <c r="C67" s="714">
        <f>ROUND((C66+C65),-3)</f>
        <v>422000</v>
      </c>
      <c r="E67" s="87"/>
    </row>
    <row r="68" spans="1:5" ht="13.5" thickBot="1">
      <c r="A68" s="354"/>
      <c r="B68" s="212"/>
      <c r="C68" s="212"/>
    </row>
    <row r="69" spans="1:5" ht="13.5" thickBot="1">
      <c r="A69" s="1275" t="s">
        <v>233</v>
      </c>
      <c r="B69" s="1276"/>
      <c r="C69" s="346" t="str">
        <f>D2</f>
        <v>Courthouse Condos</v>
      </c>
    </row>
    <row r="70" spans="1:5" ht="13.5" thickBot="1">
      <c r="A70" s="83"/>
      <c r="B70" s="356" t="s">
        <v>234</v>
      </c>
      <c r="C70" s="356"/>
    </row>
    <row r="71" spans="1:5" ht="15" customHeight="1">
      <c r="A71" s="357" t="s">
        <v>235</v>
      </c>
      <c r="B71" s="358">
        <f>ROUND(D31,-2)</f>
        <v>378702000</v>
      </c>
      <c r="C71" s="359"/>
    </row>
    <row r="72" spans="1:5" ht="13.5" thickBot="1">
      <c r="A72" s="451">
        <v>0.02</v>
      </c>
      <c r="B72" s="361">
        <f>(-ROUND(A72*B71,-2))</f>
        <v>-7574000</v>
      </c>
      <c r="C72" s="362"/>
    </row>
    <row r="73" spans="1:5" ht="14.25" thickTop="1" thickBot="1">
      <c r="A73" s="363" t="s">
        <v>236</v>
      </c>
      <c r="B73" s="236">
        <f>B71+B72</f>
        <v>371128000</v>
      </c>
      <c r="C73" s="84"/>
      <c r="E73" s="85"/>
    </row>
    <row r="74" spans="1:5" ht="12.75">
      <c r="A74" s="357" t="s">
        <v>237</v>
      </c>
      <c r="B74" s="358">
        <f>-B65</f>
        <v>-132322711.89878398</v>
      </c>
      <c r="C74" s="359"/>
    </row>
    <row r="75" spans="1:5" ht="13.5" thickBot="1">
      <c r="A75" s="364" t="s">
        <v>238</v>
      </c>
      <c r="B75" s="365">
        <f>-B66</f>
        <v>-88215141.265855998</v>
      </c>
      <c r="C75" s="362"/>
    </row>
    <row r="76" spans="1:5" ht="14.25" thickTop="1" thickBot="1">
      <c r="A76" s="135" t="s">
        <v>239</v>
      </c>
      <c r="B76" s="237">
        <f>ROUND(B73+B74+B75,-2)</f>
        <v>150590100</v>
      </c>
      <c r="C76" s="86"/>
      <c r="D76" s="87"/>
    </row>
    <row r="77" spans="1:5" ht="13.5" thickBot="1">
      <c r="A77" s="1277" t="s">
        <v>240</v>
      </c>
      <c r="B77" s="1278"/>
      <c r="C77" s="1279"/>
    </row>
    <row r="78" spans="1:5" ht="12.75">
      <c r="A78" s="366" t="s">
        <v>241</v>
      </c>
      <c r="B78" s="367">
        <f>B71/B10</f>
        <v>725482.75862068962</v>
      </c>
      <c r="C78" s="367"/>
    </row>
    <row r="79" spans="1:5" ht="15" customHeight="1" thickBot="1">
      <c r="A79" s="368" t="s">
        <v>242</v>
      </c>
      <c r="B79" s="369">
        <f>B73/B10</f>
        <v>710973.18007662834</v>
      </c>
      <c r="C79" s="369"/>
    </row>
    <row r="80" spans="1:5" ht="12.75">
      <c r="A80" s="1280" t="s">
        <v>243</v>
      </c>
      <c r="B80" s="1281"/>
      <c r="C80" s="1282"/>
    </row>
    <row r="81" spans="1:4" ht="13.5" thickBot="1">
      <c r="A81" s="354"/>
      <c r="B81" s="88"/>
      <c r="C81" s="88"/>
    </row>
    <row r="82" spans="1:4" ht="12.75">
      <c r="A82" s="89"/>
      <c r="B82" s="356" t="s">
        <v>234</v>
      </c>
      <c r="C82" s="356"/>
    </row>
    <row r="83" spans="1:4" ht="12.75">
      <c r="A83" s="370" t="s">
        <v>244</v>
      </c>
      <c r="B83" s="371">
        <f>(B76+B66)/B66</f>
        <v>2.7070776948161672</v>
      </c>
      <c r="C83" s="371"/>
    </row>
    <row r="84" spans="1:4" ht="12.75">
      <c r="A84" s="370" t="s">
        <v>474</v>
      </c>
      <c r="B84" s="986">
        <f>'Courthouse DRAW '!B43</f>
        <v>0.17532461214038042</v>
      </c>
      <c r="C84" s="371"/>
    </row>
    <row r="85" spans="1:4" ht="12.75">
      <c r="A85" s="370" t="s">
        <v>245</v>
      </c>
      <c r="B85" s="986">
        <f>'Courthouse DRAW '!B38</f>
        <v>0.25236182196406753</v>
      </c>
      <c r="C85" s="165"/>
      <c r="D85" s="90"/>
    </row>
    <row r="86" spans="1:4" ht="12.75">
      <c r="A86" s="370" t="s">
        <v>247</v>
      </c>
      <c r="B86" s="373" t="s">
        <v>297</v>
      </c>
      <c r="C86" s="373"/>
    </row>
    <row r="87" spans="1:4" ht="12.75">
      <c r="A87" s="370" t="s">
        <v>248</v>
      </c>
      <c r="B87" s="373" t="s">
        <v>297</v>
      </c>
      <c r="C87" s="374"/>
    </row>
  </sheetData>
  <mergeCells count="14">
    <mergeCell ref="A69:B69"/>
    <mergeCell ref="A77:C77"/>
    <mergeCell ref="A80:C80"/>
    <mergeCell ref="E53:F53"/>
    <mergeCell ref="A32:B32"/>
    <mergeCell ref="C32:D32"/>
    <mergeCell ref="A31:C31"/>
    <mergeCell ref="A61:B61"/>
    <mergeCell ref="A2:C2"/>
    <mergeCell ref="A27:D27"/>
    <mergeCell ref="D2:F2"/>
    <mergeCell ref="B30:C30"/>
    <mergeCell ref="E52:F52"/>
    <mergeCell ref="E49:F49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26" max="4" man="1"/>
    <brk id="65" max="4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W598"/>
  <sheetViews>
    <sheetView zoomScaleNormal="100" zoomScalePageLayoutView="125" workbookViewId="0">
      <pane xSplit="1" ySplit="3" topLeftCell="B26" activePane="bottomRight" state="frozen"/>
      <selection pane="topRight" activeCell="B1" sqref="B1"/>
      <selection pane="bottomLeft" activeCell="A4" sqref="A4"/>
      <selection pane="bottomRight" activeCell="B32" sqref="B32"/>
    </sheetView>
  </sheetViews>
  <sheetFormatPr defaultColWidth="8.85546875" defaultRowHeight="15"/>
  <cols>
    <col min="1" max="1" width="45.5703125" style="21" customWidth="1"/>
    <col min="2" max="2" width="21.42578125" style="21" customWidth="1"/>
    <col min="3" max="3" width="18.5703125" style="21" customWidth="1"/>
    <col min="4" max="4" width="15" style="21" customWidth="1"/>
    <col min="5" max="5" width="15.42578125" style="21" customWidth="1"/>
    <col min="6" max="6" width="18.140625" style="21" customWidth="1"/>
    <col min="7" max="7" width="14.42578125" style="139" customWidth="1"/>
    <col min="8" max="8" width="19" style="21" customWidth="1"/>
    <col min="9" max="9" width="17.85546875" style="21" customWidth="1"/>
    <col min="10" max="10" width="16.42578125" style="21" customWidth="1"/>
    <col min="11" max="11" width="12.42578125" style="21" customWidth="1"/>
    <col min="12" max="12" width="14.140625" style="21" customWidth="1"/>
    <col min="13" max="13" width="14.42578125" style="21" customWidth="1"/>
    <col min="14" max="14" width="15.42578125" style="21" customWidth="1"/>
    <col min="15" max="15" width="16.140625" style="21" customWidth="1"/>
    <col min="16" max="16" width="15.42578125" style="21" customWidth="1"/>
    <col min="17" max="17" width="16" style="21" customWidth="1"/>
    <col min="18" max="19" width="14" style="21" customWidth="1"/>
    <col min="20" max="20" width="12.85546875" style="21" customWidth="1"/>
    <col min="21" max="21" width="14.42578125" style="21" customWidth="1"/>
    <col min="22" max="22" width="12.5703125" style="21" customWidth="1"/>
    <col min="23" max="23" width="17" style="21" hidden="1" customWidth="1"/>
    <col min="24" max="24" width="16.42578125" style="21" hidden="1" customWidth="1"/>
    <col min="25" max="25" width="13.42578125" style="21" hidden="1" customWidth="1"/>
    <col min="26" max="26" width="15" style="21" hidden="1" customWidth="1"/>
    <col min="27" max="27" width="13.42578125" style="21" hidden="1" customWidth="1"/>
    <col min="28" max="28" width="16.85546875" style="140" hidden="1" customWidth="1"/>
    <col min="29" max="29" width="15" style="21" hidden="1" customWidth="1"/>
    <col min="30" max="30" width="16.140625" style="21" hidden="1" customWidth="1"/>
    <col min="31" max="31" width="13.42578125" style="140" hidden="1" customWidth="1"/>
    <col min="32" max="32" width="17.140625" style="21" hidden="1" customWidth="1"/>
    <col min="33" max="33" width="14.42578125" style="21" hidden="1" customWidth="1"/>
    <col min="34" max="34" width="17.5703125" style="21" hidden="1" customWidth="1"/>
    <col min="35" max="35" width="14.42578125" style="141" hidden="1" customWidth="1"/>
    <col min="36" max="36" width="14.85546875" style="21" hidden="1" customWidth="1"/>
    <col min="37" max="37" width="15" style="21" hidden="1" customWidth="1"/>
    <col min="38" max="46" width="15.140625" style="21" hidden="1" customWidth="1"/>
    <col min="47" max="47" width="21" style="21" customWidth="1"/>
    <col min="48" max="49" width="17" style="21" customWidth="1"/>
    <col min="50" max="72" width="17" customWidth="1"/>
    <col min="73" max="73" width="16.5703125" customWidth="1"/>
    <col min="74" max="74" width="15" style="21" customWidth="1"/>
    <col min="75" max="75" width="17.85546875" style="21" bestFit="1" customWidth="1"/>
    <col min="76" max="76" width="9.5703125" style="21" bestFit="1" customWidth="1"/>
    <col min="77" max="77" width="11.85546875" style="21" bestFit="1" customWidth="1"/>
    <col min="78" max="79" width="9.5703125" style="21" bestFit="1" customWidth="1"/>
    <col min="80" max="16384" width="8.85546875" style="21"/>
  </cols>
  <sheetData>
    <row r="1" spans="1:75" ht="15.75" thickBot="1">
      <c r="A1" s="1283" t="str">
        <f>'Development Program'!B24</f>
        <v>Courthouse Condos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2" t="str">
        <f>'Development Program'!G23</f>
        <v>Close-out</v>
      </c>
      <c r="G1" s="21"/>
      <c r="AB1" s="21"/>
      <c r="AE1" s="21"/>
      <c r="AI1" s="21"/>
      <c r="BV1"/>
      <c r="BW1"/>
    </row>
    <row r="2" spans="1:75" ht="27" thickBot="1">
      <c r="A2" s="1283"/>
      <c r="B2" s="375" t="s">
        <v>250</v>
      </c>
      <c r="C2" s="377" t="str">
        <f>'Development Program'!D24</f>
        <v>01/1/25 to 12/31/25</v>
      </c>
      <c r="D2" s="377" t="str">
        <f>'Development Program'!E24</f>
        <v>None</v>
      </c>
      <c r="E2" s="377" t="str">
        <f>'Development Program'!F24</f>
        <v>1/1/26 to 12/31/28</v>
      </c>
      <c r="F2" s="489" t="str">
        <f>'Development Program'!G24</f>
        <v>1/1/29 to 6/30/29</v>
      </c>
      <c r="G2" s="21"/>
      <c r="H2" s="244" t="s">
        <v>251</v>
      </c>
      <c r="I2" s="244" t="s">
        <v>252</v>
      </c>
      <c r="Q2" s="753"/>
      <c r="R2" s="242"/>
      <c r="S2" s="242"/>
      <c r="T2" s="773" t="s">
        <v>253</v>
      </c>
      <c r="U2" s="773" t="s">
        <v>254</v>
      </c>
      <c r="V2" s="773" t="s">
        <v>255</v>
      </c>
      <c r="AB2" s="21"/>
      <c r="AE2" s="21"/>
      <c r="AF2" s="205"/>
      <c r="AI2" s="21"/>
      <c r="AU2" s="1285"/>
      <c r="AV2" s="1285"/>
      <c r="AW2" s="1285"/>
      <c r="BV2"/>
      <c r="BW2"/>
    </row>
    <row r="3" spans="1:75" ht="15.75" thickBot="1">
      <c r="A3" s="1284"/>
      <c r="B3" s="142" t="s">
        <v>122</v>
      </c>
      <c r="C3" s="203">
        <v>46023</v>
      </c>
      <c r="D3" s="204">
        <f>EOMONTH(C3,3)</f>
        <v>46142</v>
      </c>
      <c r="E3" s="204">
        <f t="shared" ref="E3:AK3" si="0">EOMONTH(D3,3)</f>
        <v>46234</v>
      </c>
      <c r="F3" s="204">
        <f t="shared" si="0"/>
        <v>46326</v>
      </c>
      <c r="G3" s="246">
        <f t="shared" si="0"/>
        <v>46418</v>
      </c>
      <c r="H3" s="246">
        <f t="shared" si="0"/>
        <v>46507</v>
      </c>
      <c r="I3" s="246">
        <f t="shared" si="0"/>
        <v>46599</v>
      </c>
      <c r="J3" s="246">
        <f t="shared" si="0"/>
        <v>46691</v>
      </c>
      <c r="K3" s="246">
        <f t="shared" si="0"/>
        <v>46783</v>
      </c>
      <c r="L3" s="246">
        <f t="shared" si="0"/>
        <v>46873</v>
      </c>
      <c r="M3" s="246">
        <f t="shared" si="0"/>
        <v>46965</v>
      </c>
      <c r="N3" s="246">
        <f t="shared" si="0"/>
        <v>47057</v>
      </c>
      <c r="O3" s="246">
        <f t="shared" si="0"/>
        <v>47149</v>
      </c>
      <c r="P3" s="246">
        <f t="shared" si="0"/>
        <v>47238</v>
      </c>
      <c r="Q3" s="204">
        <f t="shared" si="0"/>
        <v>47330</v>
      </c>
      <c r="R3" s="204">
        <f t="shared" si="0"/>
        <v>47422</v>
      </c>
      <c r="S3" s="204">
        <f t="shared" si="0"/>
        <v>47514</v>
      </c>
      <c r="T3" s="246">
        <f t="shared" si="0"/>
        <v>47603</v>
      </c>
      <c r="U3" s="246">
        <f t="shared" si="0"/>
        <v>47695</v>
      </c>
      <c r="V3" s="246">
        <f t="shared" si="0"/>
        <v>47787</v>
      </c>
      <c r="W3" s="246">
        <f t="shared" si="0"/>
        <v>47879</v>
      </c>
      <c r="X3" s="246">
        <f t="shared" si="0"/>
        <v>47968</v>
      </c>
      <c r="Y3" s="246">
        <f t="shared" si="0"/>
        <v>48060</v>
      </c>
      <c r="Z3" s="246">
        <f t="shared" si="0"/>
        <v>48152</v>
      </c>
      <c r="AA3" s="246">
        <f t="shared" si="0"/>
        <v>48244</v>
      </c>
      <c r="AB3" s="246">
        <f t="shared" si="0"/>
        <v>48334</v>
      </c>
      <c r="AC3" s="246">
        <f t="shared" si="0"/>
        <v>48426</v>
      </c>
      <c r="AD3" s="246">
        <f t="shared" si="0"/>
        <v>48518</v>
      </c>
      <c r="AE3" s="246">
        <f t="shared" si="0"/>
        <v>48610</v>
      </c>
      <c r="AF3" s="246">
        <f t="shared" si="0"/>
        <v>48699</v>
      </c>
      <c r="AG3" s="246">
        <f t="shared" si="0"/>
        <v>48791</v>
      </c>
      <c r="AH3" s="246">
        <f t="shared" si="0"/>
        <v>48883</v>
      </c>
      <c r="AI3" s="246">
        <f t="shared" si="0"/>
        <v>48975</v>
      </c>
      <c r="AJ3" s="246">
        <f t="shared" si="0"/>
        <v>49064</v>
      </c>
      <c r="AK3" s="246">
        <f t="shared" si="0"/>
        <v>49156</v>
      </c>
      <c r="AL3" s="246">
        <f>EOMONTH(AK3,3)</f>
        <v>49248</v>
      </c>
      <c r="AM3" s="246">
        <f t="shared" ref="AM3:AT3" si="1">EOMONTH(AL3,3)</f>
        <v>49340</v>
      </c>
      <c r="AN3" s="246">
        <f t="shared" si="1"/>
        <v>49429</v>
      </c>
      <c r="AO3" s="246">
        <f t="shared" si="1"/>
        <v>49521</v>
      </c>
      <c r="AP3" s="246">
        <f t="shared" si="1"/>
        <v>49613</v>
      </c>
      <c r="AQ3" s="246">
        <f t="shared" si="1"/>
        <v>49705</v>
      </c>
      <c r="AR3" s="246">
        <f t="shared" si="1"/>
        <v>49795</v>
      </c>
      <c r="AS3" s="246">
        <f>EOMONTH(AR3,3)</f>
        <v>49887</v>
      </c>
      <c r="AT3" s="246">
        <f t="shared" si="1"/>
        <v>49979</v>
      </c>
      <c r="AU3" s="246" t="s">
        <v>257</v>
      </c>
      <c r="AV3" s="453" t="s">
        <v>258</v>
      </c>
      <c r="AW3" s="378"/>
      <c r="BV3"/>
      <c r="BW3"/>
    </row>
    <row r="4" spans="1:75" ht="15.75" thickBot="1">
      <c r="A4" s="380" t="s">
        <v>259</v>
      </c>
      <c r="B4" s="381">
        <v>1</v>
      </c>
      <c r="C4" s="239">
        <v>0</v>
      </c>
      <c r="D4" s="239">
        <v>0</v>
      </c>
      <c r="E4" s="239">
        <v>0</v>
      </c>
      <c r="F4" s="239">
        <v>0.05</v>
      </c>
      <c r="G4" s="238">
        <v>0.05</v>
      </c>
      <c r="H4" s="238">
        <v>0.05</v>
      </c>
      <c r="I4" s="238">
        <v>0.05</v>
      </c>
      <c r="J4" s="238">
        <v>0.12</v>
      </c>
      <c r="K4" s="238">
        <v>0.12</v>
      </c>
      <c r="L4" s="238">
        <v>0.12</v>
      </c>
      <c r="M4" s="238">
        <v>0.12</v>
      </c>
      <c r="N4" s="238">
        <v>0.12</v>
      </c>
      <c r="O4" s="238">
        <v>0.05</v>
      </c>
      <c r="P4" s="238">
        <v>0.05</v>
      </c>
      <c r="Q4" s="238">
        <v>0.05</v>
      </c>
      <c r="R4" s="238">
        <v>0.05</v>
      </c>
      <c r="S4" s="238">
        <v>0</v>
      </c>
      <c r="T4" s="238">
        <v>0</v>
      </c>
      <c r="U4" s="238">
        <v>0</v>
      </c>
      <c r="V4" s="238">
        <v>0</v>
      </c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382">
        <f t="shared" ref="AU4:AU18" si="2">SUM(C4:AT4)</f>
        <v>1.0000000000000002</v>
      </c>
      <c r="AV4" s="383"/>
      <c r="AW4" s="216" t="s">
        <v>260</v>
      </c>
      <c r="BV4"/>
      <c r="BW4"/>
    </row>
    <row r="5" spans="1:75">
      <c r="A5" s="384" t="str">
        <f>'Courthouse Financial '!A34</f>
        <v>Hard Costs for Construction</v>
      </c>
      <c r="B5" s="490">
        <f>'Courthouse Financial '!C34</f>
        <v>110595600</v>
      </c>
      <c r="C5" s="386">
        <f t="shared" ref="C5:R16" si="3">$B5*C$4</f>
        <v>0</v>
      </c>
      <c r="D5" s="386">
        <f t="shared" si="3"/>
        <v>0</v>
      </c>
      <c r="E5" s="386">
        <f t="shared" si="3"/>
        <v>0</v>
      </c>
      <c r="F5" s="386">
        <f t="shared" si="3"/>
        <v>5529780</v>
      </c>
      <c r="G5" s="386">
        <f t="shared" si="3"/>
        <v>5529780</v>
      </c>
      <c r="H5" s="386">
        <f t="shared" si="3"/>
        <v>5529780</v>
      </c>
      <c r="I5" s="386">
        <f t="shared" si="3"/>
        <v>5529780</v>
      </c>
      <c r="J5" s="386">
        <f t="shared" si="3"/>
        <v>13271472</v>
      </c>
      <c r="K5" s="386">
        <f t="shared" si="3"/>
        <v>13271472</v>
      </c>
      <c r="L5" s="386">
        <f t="shared" si="3"/>
        <v>13271472</v>
      </c>
      <c r="M5" s="386">
        <f t="shared" si="3"/>
        <v>13271472</v>
      </c>
      <c r="N5" s="386">
        <f t="shared" si="3"/>
        <v>13271472</v>
      </c>
      <c r="O5" s="386">
        <f t="shared" si="3"/>
        <v>5529780</v>
      </c>
      <c r="P5" s="386">
        <f t="shared" si="3"/>
        <v>5529780</v>
      </c>
      <c r="Q5" s="386">
        <f t="shared" si="3"/>
        <v>5529780</v>
      </c>
      <c r="R5" s="386">
        <f t="shared" si="3"/>
        <v>5529780</v>
      </c>
      <c r="S5" s="386">
        <f t="shared" ref="S5:V16" si="4">$B5*S$4</f>
        <v>0</v>
      </c>
      <c r="T5" s="386">
        <f t="shared" si="4"/>
        <v>0</v>
      </c>
      <c r="U5" s="386">
        <f t="shared" si="4"/>
        <v>0</v>
      </c>
      <c r="V5" s="386">
        <f t="shared" si="4"/>
        <v>0</v>
      </c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7">
        <f t="shared" si="2"/>
        <v>110595600</v>
      </c>
      <c r="AV5" s="387">
        <f t="shared" ref="AV5:AV25" si="5">B5</f>
        <v>110595600</v>
      </c>
      <c r="AW5" s="387">
        <f t="shared" ref="AW5:AW16" si="6">AV5-AU5</f>
        <v>0</v>
      </c>
      <c r="BV5"/>
      <c r="BW5"/>
    </row>
    <row r="6" spans="1:75">
      <c r="A6" s="384" t="str">
        <f>'Courthouse Financial '!A35</f>
        <v>Guest Parking</v>
      </c>
      <c r="B6" s="490">
        <f>'Courthouse Financial '!C35</f>
        <v>0</v>
      </c>
      <c r="C6" s="386">
        <f t="shared" si="3"/>
        <v>0</v>
      </c>
      <c r="D6" s="386">
        <f t="shared" si="3"/>
        <v>0</v>
      </c>
      <c r="E6" s="386">
        <f t="shared" si="3"/>
        <v>0</v>
      </c>
      <c r="F6" s="386">
        <f t="shared" si="3"/>
        <v>0</v>
      </c>
      <c r="G6" s="386">
        <f t="shared" si="3"/>
        <v>0</v>
      </c>
      <c r="H6" s="386">
        <f t="shared" si="3"/>
        <v>0</v>
      </c>
      <c r="I6" s="386">
        <f t="shared" si="3"/>
        <v>0</v>
      </c>
      <c r="J6" s="386">
        <f t="shared" si="3"/>
        <v>0</v>
      </c>
      <c r="K6" s="386">
        <f t="shared" si="3"/>
        <v>0</v>
      </c>
      <c r="L6" s="386">
        <f t="shared" si="3"/>
        <v>0</v>
      </c>
      <c r="M6" s="386">
        <f t="shared" si="3"/>
        <v>0</v>
      </c>
      <c r="N6" s="386">
        <f t="shared" si="3"/>
        <v>0</v>
      </c>
      <c r="O6" s="386">
        <f t="shared" si="3"/>
        <v>0</v>
      </c>
      <c r="P6" s="386">
        <f t="shared" si="3"/>
        <v>0</v>
      </c>
      <c r="Q6" s="386">
        <f t="shared" si="3"/>
        <v>0</v>
      </c>
      <c r="R6" s="386">
        <f t="shared" si="3"/>
        <v>0</v>
      </c>
      <c r="S6" s="386">
        <f t="shared" si="4"/>
        <v>0</v>
      </c>
      <c r="T6" s="386">
        <f t="shared" si="4"/>
        <v>0</v>
      </c>
      <c r="U6" s="386">
        <f t="shared" si="4"/>
        <v>0</v>
      </c>
      <c r="V6" s="386">
        <f t="shared" si="4"/>
        <v>0</v>
      </c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7">
        <f t="shared" si="2"/>
        <v>0</v>
      </c>
      <c r="AV6" s="387">
        <f t="shared" si="5"/>
        <v>0</v>
      </c>
      <c r="AW6" s="387">
        <f t="shared" si="6"/>
        <v>0</v>
      </c>
      <c r="BV6"/>
      <c r="BW6"/>
    </row>
    <row r="7" spans="1:75">
      <c r="A7" s="384" t="str">
        <f>'Courthouse Financial '!A36</f>
        <v>Hard Cost Contingency</v>
      </c>
      <c r="B7" s="490">
        <f>'Courthouse Financial '!C36</f>
        <v>11059560</v>
      </c>
      <c r="C7" s="386">
        <f t="shared" si="3"/>
        <v>0</v>
      </c>
      <c r="D7" s="386">
        <f t="shared" si="3"/>
        <v>0</v>
      </c>
      <c r="E7" s="386">
        <f t="shared" si="3"/>
        <v>0</v>
      </c>
      <c r="F7" s="386">
        <f t="shared" si="3"/>
        <v>552978</v>
      </c>
      <c r="G7" s="386">
        <f t="shared" si="3"/>
        <v>552978</v>
      </c>
      <c r="H7" s="386">
        <f t="shared" si="3"/>
        <v>552978</v>
      </c>
      <c r="I7" s="386">
        <f t="shared" si="3"/>
        <v>552978</v>
      </c>
      <c r="J7" s="386">
        <f t="shared" si="3"/>
        <v>1327147.2</v>
      </c>
      <c r="K7" s="386">
        <f t="shared" si="3"/>
        <v>1327147.2</v>
      </c>
      <c r="L7" s="386">
        <f t="shared" si="3"/>
        <v>1327147.2</v>
      </c>
      <c r="M7" s="386">
        <f t="shared" si="3"/>
        <v>1327147.2</v>
      </c>
      <c r="N7" s="386">
        <f t="shared" si="3"/>
        <v>1327147.2</v>
      </c>
      <c r="O7" s="386">
        <f t="shared" si="3"/>
        <v>552978</v>
      </c>
      <c r="P7" s="386">
        <f t="shared" si="3"/>
        <v>552978</v>
      </c>
      <c r="Q7" s="386">
        <f t="shared" si="3"/>
        <v>552978</v>
      </c>
      <c r="R7" s="386">
        <f t="shared" si="3"/>
        <v>552978</v>
      </c>
      <c r="S7" s="386">
        <f t="shared" si="4"/>
        <v>0</v>
      </c>
      <c r="T7" s="386">
        <f t="shared" si="4"/>
        <v>0</v>
      </c>
      <c r="U7" s="386">
        <f t="shared" si="4"/>
        <v>0</v>
      </c>
      <c r="V7" s="386">
        <f t="shared" si="4"/>
        <v>0</v>
      </c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7">
        <f t="shared" si="2"/>
        <v>11059560</v>
      </c>
      <c r="AV7" s="387">
        <f t="shared" si="5"/>
        <v>11059560</v>
      </c>
      <c r="AW7" s="387">
        <f t="shared" si="6"/>
        <v>0</v>
      </c>
      <c r="BV7"/>
      <c r="BW7"/>
    </row>
    <row r="8" spans="1:75">
      <c r="A8" s="384" t="str">
        <f>'Courthouse Financial '!A37</f>
        <v>Demolition</v>
      </c>
      <c r="B8" s="490">
        <f>'Courthouse Financial '!C37</f>
        <v>198884</v>
      </c>
      <c r="C8" s="386">
        <f>B8</f>
        <v>198884</v>
      </c>
      <c r="D8" s="386">
        <v>0</v>
      </c>
      <c r="E8" s="386">
        <v>0</v>
      </c>
      <c r="F8" s="386">
        <v>0</v>
      </c>
      <c r="G8" s="386">
        <v>0</v>
      </c>
      <c r="H8" s="386">
        <v>0</v>
      </c>
      <c r="I8" s="386">
        <v>0</v>
      </c>
      <c r="J8" s="386">
        <v>0</v>
      </c>
      <c r="K8" s="386">
        <v>0</v>
      </c>
      <c r="L8" s="386">
        <v>0</v>
      </c>
      <c r="M8" s="386">
        <v>0</v>
      </c>
      <c r="N8" s="386">
        <v>0</v>
      </c>
      <c r="O8" s="386">
        <v>0</v>
      </c>
      <c r="P8" s="386">
        <v>0</v>
      </c>
      <c r="Q8" s="386">
        <v>0</v>
      </c>
      <c r="R8" s="386">
        <v>0</v>
      </c>
      <c r="S8" s="386">
        <v>0</v>
      </c>
      <c r="T8" s="386">
        <v>0</v>
      </c>
      <c r="U8" s="386">
        <v>0</v>
      </c>
      <c r="V8" s="386">
        <v>0</v>
      </c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  <c r="AS8" s="386"/>
      <c r="AT8" s="386"/>
      <c r="AU8" s="387">
        <f t="shared" si="2"/>
        <v>198884</v>
      </c>
      <c r="AV8" s="387">
        <f t="shared" si="5"/>
        <v>198884</v>
      </c>
      <c r="AW8" s="387">
        <f t="shared" si="6"/>
        <v>0</v>
      </c>
      <c r="BV8"/>
      <c r="BW8"/>
    </row>
    <row r="9" spans="1:75">
      <c r="A9" s="384" t="str">
        <f>'Courthouse Financial '!A38</f>
        <v>LAND</v>
      </c>
      <c r="B9" s="490">
        <f>'Courthouse Financial '!C38</f>
        <v>55000000</v>
      </c>
      <c r="C9" s="386">
        <f>B9</f>
        <v>55000000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6">
        <v>0</v>
      </c>
      <c r="Q9" s="386">
        <v>0</v>
      </c>
      <c r="R9" s="386">
        <v>0</v>
      </c>
      <c r="S9" s="386">
        <v>0</v>
      </c>
      <c r="T9" s="386">
        <v>0</v>
      </c>
      <c r="U9" s="386">
        <v>0</v>
      </c>
      <c r="V9" s="386">
        <v>0</v>
      </c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6"/>
      <c r="AU9" s="387">
        <f t="shared" si="2"/>
        <v>55000000</v>
      </c>
      <c r="AV9" s="387">
        <f t="shared" si="5"/>
        <v>55000000</v>
      </c>
      <c r="AW9" s="387">
        <f t="shared" si="6"/>
        <v>0</v>
      </c>
      <c r="BV9"/>
      <c r="BW9"/>
    </row>
    <row r="10" spans="1:75">
      <c r="A10" s="384" t="str">
        <f>'Courthouse Financial '!A39</f>
        <v>Municipal Fees and Allowances</v>
      </c>
      <c r="B10" s="490">
        <f>'Courthouse Financial '!C39</f>
        <v>1566000</v>
      </c>
      <c r="C10" s="386">
        <f>B10</f>
        <v>1566000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v>0</v>
      </c>
      <c r="R10" s="386">
        <v>0</v>
      </c>
      <c r="S10" s="386">
        <v>0</v>
      </c>
      <c r="T10" s="386">
        <v>0</v>
      </c>
      <c r="U10" s="386">
        <v>0</v>
      </c>
      <c r="V10" s="386">
        <v>0</v>
      </c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6"/>
      <c r="AU10" s="387">
        <f t="shared" si="2"/>
        <v>1566000</v>
      </c>
      <c r="AV10" s="387">
        <f t="shared" si="5"/>
        <v>1566000</v>
      </c>
      <c r="AW10" s="387">
        <f t="shared" si="6"/>
        <v>0</v>
      </c>
      <c r="BV10"/>
      <c r="BW10"/>
    </row>
    <row r="11" spans="1:75">
      <c r="A11" s="384" t="str">
        <f>'Courthouse Financial '!A40</f>
        <v>Infrastructure allocation</v>
      </c>
      <c r="B11" s="490">
        <f>'Courthouse Financial '!C40</f>
        <v>8750000</v>
      </c>
      <c r="C11" s="386">
        <f t="shared" si="3"/>
        <v>0</v>
      </c>
      <c r="D11" s="386">
        <f t="shared" si="3"/>
        <v>0</v>
      </c>
      <c r="E11" s="386">
        <f t="shared" si="3"/>
        <v>0</v>
      </c>
      <c r="F11" s="386">
        <f t="shared" si="3"/>
        <v>437500</v>
      </c>
      <c r="G11" s="386">
        <f t="shared" si="3"/>
        <v>437500</v>
      </c>
      <c r="H11" s="386">
        <f t="shared" si="3"/>
        <v>437500</v>
      </c>
      <c r="I11" s="386">
        <f t="shared" si="3"/>
        <v>437500</v>
      </c>
      <c r="J11" s="386">
        <f t="shared" si="3"/>
        <v>1050000</v>
      </c>
      <c r="K11" s="386">
        <f t="shared" si="3"/>
        <v>1050000</v>
      </c>
      <c r="L11" s="386">
        <f t="shared" si="3"/>
        <v>1050000</v>
      </c>
      <c r="M11" s="386">
        <f t="shared" si="3"/>
        <v>1050000</v>
      </c>
      <c r="N11" s="386">
        <f t="shared" si="3"/>
        <v>1050000</v>
      </c>
      <c r="O11" s="386">
        <f t="shared" si="3"/>
        <v>437500</v>
      </c>
      <c r="P11" s="386">
        <f t="shared" si="3"/>
        <v>437500</v>
      </c>
      <c r="Q11" s="386">
        <f t="shared" si="3"/>
        <v>437500</v>
      </c>
      <c r="R11" s="386">
        <f t="shared" si="3"/>
        <v>437500</v>
      </c>
      <c r="S11" s="386">
        <f t="shared" si="4"/>
        <v>0</v>
      </c>
      <c r="T11" s="386">
        <f t="shared" si="4"/>
        <v>0</v>
      </c>
      <c r="U11" s="386">
        <f t="shared" si="4"/>
        <v>0</v>
      </c>
      <c r="V11" s="386">
        <f t="shared" si="4"/>
        <v>0</v>
      </c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  <c r="AP11" s="386"/>
      <c r="AQ11" s="386"/>
      <c r="AR11" s="386"/>
      <c r="AS11" s="386"/>
      <c r="AT11" s="386"/>
      <c r="AU11" s="387">
        <f t="shared" si="2"/>
        <v>8750000</v>
      </c>
      <c r="AV11" s="387">
        <f t="shared" si="5"/>
        <v>8750000</v>
      </c>
      <c r="AW11" s="387">
        <f t="shared" si="6"/>
        <v>0</v>
      </c>
      <c r="BV11"/>
      <c r="BW11"/>
    </row>
    <row r="12" spans="1:75">
      <c r="A12" s="384" t="str">
        <f>'Courthouse Financial '!A41</f>
        <v>Legal</v>
      </c>
      <c r="B12" s="490">
        <f>'Courthouse Financial '!C41</f>
        <v>1500000</v>
      </c>
      <c r="C12" s="386">
        <f t="shared" si="3"/>
        <v>0</v>
      </c>
      <c r="D12" s="386">
        <f t="shared" si="3"/>
        <v>0</v>
      </c>
      <c r="E12" s="386">
        <f t="shared" si="3"/>
        <v>0</v>
      </c>
      <c r="F12" s="386">
        <f t="shared" si="3"/>
        <v>75000</v>
      </c>
      <c r="G12" s="386">
        <f t="shared" si="3"/>
        <v>75000</v>
      </c>
      <c r="H12" s="386">
        <f t="shared" si="3"/>
        <v>75000</v>
      </c>
      <c r="I12" s="386">
        <f t="shared" si="3"/>
        <v>75000</v>
      </c>
      <c r="J12" s="386">
        <f t="shared" si="3"/>
        <v>180000</v>
      </c>
      <c r="K12" s="386">
        <f t="shared" si="3"/>
        <v>180000</v>
      </c>
      <c r="L12" s="386">
        <f t="shared" si="3"/>
        <v>180000</v>
      </c>
      <c r="M12" s="386">
        <f t="shared" si="3"/>
        <v>180000</v>
      </c>
      <c r="N12" s="386">
        <f t="shared" si="3"/>
        <v>180000</v>
      </c>
      <c r="O12" s="386">
        <f t="shared" si="3"/>
        <v>75000</v>
      </c>
      <c r="P12" s="386">
        <f t="shared" si="3"/>
        <v>75000</v>
      </c>
      <c r="Q12" s="386">
        <f t="shared" si="3"/>
        <v>75000</v>
      </c>
      <c r="R12" s="386">
        <f t="shared" si="3"/>
        <v>75000</v>
      </c>
      <c r="S12" s="386">
        <f t="shared" si="4"/>
        <v>0</v>
      </c>
      <c r="T12" s="386">
        <f t="shared" si="4"/>
        <v>0</v>
      </c>
      <c r="U12" s="386">
        <f t="shared" si="4"/>
        <v>0</v>
      </c>
      <c r="V12" s="386">
        <f t="shared" si="4"/>
        <v>0</v>
      </c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86"/>
      <c r="AJ12" s="386"/>
      <c r="AK12" s="386"/>
      <c r="AL12" s="386"/>
      <c r="AM12" s="386"/>
      <c r="AN12" s="386"/>
      <c r="AO12" s="386"/>
      <c r="AP12" s="386"/>
      <c r="AQ12" s="386"/>
      <c r="AR12" s="386"/>
      <c r="AS12" s="386"/>
      <c r="AT12" s="386"/>
      <c r="AU12" s="387">
        <f t="shared" si="2"/>
        <v>1500000</v>
      </c>
      <c r="AV12" s="387">
        <f t="shared" si="5"/>
        <v>1500000</v>
      </c>
      <c r="AW12" s="387">
        <f t="shared" si="6"/>
        <v>0</v>
      </c>
      <c r="BV12"/>
      <c r="BW12"/>
    </row>
    <row r="13" spans="1:75">
      <c r="A13" s="384" t="str">
        <f>'Courthouse Financial '!A42</f>
        <v>Land Closing Costs/commissions</v>
      </c>
      <c r="B13" s="490">
        <f>'Courthouse Financial '!C42</f>
        <v>550000</v>
      </c>
      <c r="C13" s="386">
        <f t="shared" si="3"/>
        <v>0</v>
      </c>
      <c r="D13" s="386">
        <f t="shared" si="3"/>
        <v>0</v>
      </c>
      <c r="E13" s="386">
        <f t="shared" si="3"/>
        <v>0</v>
      </c>
      <c r="F13" s="386">
        <f t="shared" si="3"/>
        <v>27500</v>
      </c>
      <c r="G13" s="386">
        <f t="shared" si="3"/>
        <v>27500</v>
      </c>
      <c r="H13" s="386">
        <f t="shared" si="3"/>
        <v>27500</v>
      </c>
      <c r="I13" s="386">
        <f t="shared" si="3"/>
        <v>27500</v>
      </c>
      <c r="J13" s="386">
        <f t="shared" si="3"/>
        <v>66000</v>
      </c>
      <c r="K13" s="386">
        <f t="shared" si="3"/>
        <v>66000</v>
      </c>
      <c r="L13" s="386">
        <f t="shared" si="3"/>
        <v>66000</v>
      </c>
      <c r="M13" s="386">
        <f t="shared" si="3"/>
        <v>66000</v>
      </c>
      <c r="N13" s="386">
        <f t="shared" si="3"/>
        <v>66000</v>
      </c>
      <c r="O13" s="386">
        <f t="shared" si="3"/>
        <v>27500</v>
      </c>
      <c r="P13" s="386">
        <f t="shared" si="3"/>
        <v>27500</v>
      </c>
      <c r="Q13" s="386">
        <f t="shared" si="3"/>
        <v>27500</v>
      </c>
      <c r="R13" s="386">
        <f t="shared" si="3"/>
        <v>27500</v>
      </c>
      <c r="S13" s="386">
        <f t="shared" si="4"/>
        <v>0</v>
      </c>
      <c r="T13" s="386">
        <f t="shared" si="4"/>
        <v>0</v>
      </c>
      <c r="U13" s="386">
        <f t="shared" si="4"/>
        <v>0</v>
      </c>
      <c r="V13" s="386">
        <f t="shared" si="4"/>
        <v>0</v>
      </c>
      <c r="W13" s="386"/>
      <c r="X13" s="386"/>
      <c r="Y13" s="386"/>
      <c r="Z13" s="386"/>
      <c r="AA13" s="386"/>
      <c r="AB13" s="386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386"/>
      <c r="AN13" s="386"/>
      <c r="AO13" s="386"/>
      <c r="AP13" s="386"/>
      <c r="AQ13" s="386"/>
      <c r="AR13" s="386"/>
      <c r="AS13" s="386"/>
      <c r="AT13" s="386"/>
      <c r="AU13" s="387">
        <f t="shared" si="2"/>
        <v>550000</v>
      </c>
      <c r="AV13" s="387">
        <f t="shared" si="5"/>
        <v>550000</v>
      </c>
      <c r="AW13" s="387">
        <f t="shared" si="6"/>
        <v>0</v>
      </c>
      <c r="BV13"/>
      <c r="BW13"/>
    </row>
    <row r="14" spans="1:75">
      <c r="A14" s="384" t="str">
        <f>'Courthouse Financial '!A43</f>
        <v xml:space="preserve">Design </v>
      </c>
      <c r="B14" s="490">
        <f>'Courthouse Financial '!C43</f>
        <v>3649654.8</v>
      </c>
      <c r="C14" s="386">
        <f t="shared" si="3"/>
        <v>0</v>
      </c>
      <c r="D14" s="386">
        <f t="shared" si="3"/>
        <v>0</v>
      </c>
      <c r="E14" s="386">
        <f t="shared" si="3"/>
        <v>0</v>
      </c>
      <c r="F14" s="386">
        <f t="shared" si="3"/>
        <v>182482.74</v>
      </c>
      <c r="G14" s="386">
        <f t="shared" si="3"/>
        <v>182482.74</v>
      </c>
      <c r="H14" s="386">
        <f t="shared" si="3"/>
        <v>182482.74</v>
      </c>
      <c r="I14" s="386">
        <f t="shared" si="3"/>
        <v>182482.74</v>
      </c>
      <c r="J14" s="386">
        <f t="shared" si="3"/>
        <v>437958.57599999994</v>
      </c>
      <c r="K14" s="386">
        <f t="shared" si="3"/>
        <v>437958.57599999994</v>
      </c>
      <c r="L14" s="386">
        <f t="shared" si="3"/>
        <v>437958.57599999994</v>
      </c>
      <c r="M14" s="386">
        <f t="shared" si="3"/>
        <v>437958.57599999994</v>
      </c>
      <c r="N14" s="386">
        <f t="shared" si="3"/>
        <v>437958.57599999994</v>
      </c>
      <c r="O14" s="386">
        <f t="shared" si="3"/>
        <v>182482.74</v>
      </c>
      <c r="P14" s="386">
        <f t="shared" si="3"/>
        <v>182482.74</v>
      </c>
      <c r="Q14" s="386">
        <f t="shared" si="3"/>
        <v>182482.74</v>
      </c>
      <c r="R14" s="386">
        <f t="shared" si="3"/>
        <v>182482.74</v>
      </c>
      <c r="S14" s="386">
        <f t="shared" si="4"/>
        <v>0</v>
      </c>
      <c r="T14" s="386">
        <f t="shared" si="4"/>
        <v>0</v>
      </c>
      <c r="U14" s="386">
        <f t="shared" si="4"/>
        <v>0</v>
      </c>
      <c r="V14" s="386">
        <f t="shared" si="4"/>
        <v>0</v>
      </c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386"/>
      <c r="AN14" s="386"/>
      <c r="AO14" s="386"/>
      <c r="AP14" s="386"/>
      <c r="AQ14" s="386"/>
      <c r="AR14" s="386"/>
      <c r="AS14" s="386"/>
      <c r="AT14" s="386"/>
      <c r="AU14" s="387">
        <f t="shared" si="2"/>
        <v>3649654.8</v>
      </c>
      <c r="AV14" s="387">
        <f t="shared" si="5"/>
        <v>3649654.8</v>
      </c>
      <c r="AW14" s="387">
        <f t="shared" si="6"/>
        <v>0</v>
      </c>
      <c r="BV14"/>
      <c r="BW14"/>
    </row>
    <row r="15" spans="1:75">
      <c r="A15" s="384" t="str">
        <f>'Courthouse Financial '!A44</f>
        <v>Developer Fee</v>
      </c>
      <c r="B15" s="490">
        <f>'Courthouse Financial '!C44</f>
        <v>5786090.9639999997</v>
      </c>
      <c r="C15" s="386">
        <f t="shared" si="3"/>
        <v>0</v>
      </c>
      <c r="D15" s="386">
        <f t="shared" si="3"/>
        <v>0</v>
      </c>
      <c r="E15" s="386">
        <f t="shared" si="3"/>
        <v>0</v>
      </c>
      <c r="F15" s="386">
        <f t="shared" si="3"/>
        <v>289304.54820000002</v>
      </c>
      <c r="G15" s="386">
        <f t="shared" si="3"/>
        <v>289304.54820000002</v>
      </c>
      <c r="H15" s="386">
        <f t="shared" si="3"/>
        <v>289304.54820000002</v>
      </c>
      <c r="I15" s="386">
        <f t="shared" si="3"/>
        <v>289304.54820000002</v>
      </c>
      <c r="J15" s="386">
        <f t="shared" si="3"/>
        <v>694330.91567999998</v>
      </c>
      <c r="K15" s="386">
        <f t="shared" si="3"/>
        <v>694330.91567999998</v>
      </c>
      <c r="L15" s="386">
        <f t="shared" si="3"/>
        <v>694330.91567999998</v>
      </c>
      <c r="M15" s="386">
        <f t="shared" si="3"/>
        <v>694330.91567999998</v>
      </c>
      <c r="N15" s="386">
        <f t="shared" si="3"/>
        <v>694330.91567999998</v>
      </c>
      <c r="O15" s="386">
        <f t="shared" si="3"/>
        <v>289304.54820000002</v>
      </c>
      <c r="P15" s="386">
        <f t="shared" si="3"/>
        <v>289304.54820000002</v>
      </c>
      <c r="Q15" s="386">
        <f t="shared" si="3"/>
        <v>289304.54820000002</v>
      </c>
      <c r="R15" s="386">
        <f t="shared" si="3"/>
        <v>289304.54820000002</v>
      </c>
      <c r="S15" s="386">
        <f t="shared" si="4"/>
        <v>0</v>
      </c>
      <c r="T15" s="386">
        <f t="shared" si="4"/>
        <v>0</v>
      </c>
      <c r="U15" s="386">
        <f t="shared" si="4"/>
        <v>0</v>
      </c>
      <c r="V15" s="386">
        <f t="shared" si="4"/>
        <v>0</v>
      </c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6"/>
      <c r="AR15" s="386"/>
      <c r="AS15" s="386"/>
      <c r="AT15" s="386"/>
      <c r="AU15" s="387">
        <f t="shared" si="2"/>
        <v>5786090.9640000006</v>
      </c>
      <c r="AV15" s="387">
        <f t="shared" si="5"/>
        <v>5786090.9639999997</v>
      </c>
      <c r="AW15" s="387">
        <f t="shared" si="6"/>
        <v>0</v>
      </c>
      <c r="BV15"/>
      <c r="BW15"/>
    </row>
    <row r="16" spans="1:75">
      <c r="A16" s="384" t="str">
        <f>'Courthouse Financial '!A45</f>
        <v>Construction Management Fee</v>
      </c>
      <c r="B16" s="490">
        <f>'Courthouse Financial '!C45</f>
        <v>2433103.2000000002</v>
      </c>
      <c r="C16" s="386">
        <f t="shared" si="3"/>
        <v>0</v>
      </c>
      <c r="D16" s="386">
        <f t="shared" si="3"/>
        <v>0</v>
      </c>
      <c r="E16" s="386">
        <f t="shared" si="3"/>
        <v>0</v>
      </c>
      <c r="F16" s="386">
        <f t="shared" si="3"/>
        <v>121655.16000000002</v>
      </c>
      <c r="G16" s="386">
        <f t="shared" si="3"/>
        <v>121655.16000000002</v>
      </c>
      <c r="H16" s="386">
        <f t="shared" si="3"/>
        <v>121655.16000000002</v>
      </c>
      <c r="I16" s="386">
        <f t="shared" si="3"/>
        <v>121655.16000000002</v>
      </c>
      <c r="J16" s="386">
        <f t="shared" si="3"/>
        <v>291972.38400000002</v>
      </c>
      <c r="K16" s="386">
        <f t="shared" si="3"/>
        <v>291972.38400000002</v>
      </c>
      <c r="L16" s="386">
        <f t="shared" si="3"/>
        <v>291972.38400000002</v>
      </c>
      <c r="M16" s="386">
        <f t="shared" si="3"/>
        <v>291972.38400000002</v>
      </c>
      <c r="N16" s="386">
        <f t="shared" si="3"/>
        <v>291972.38400000002</v>
      </c>
      <c r="O16" s="386">
        <f t="shared" si="3"/>
        <v>121655.16000000002</v>
      </c>
      <c r="P16" s="386">
        <f t="shared" si="3"/>
        <v>121655.16000000002</v>
      </c>
      <c r="Q16" s="386">
        <f t="shared" si="3"/>
        <v>121655.16000000002</v>
      </c>
      <c r="R16" s="386">
        <f t="shared" si="3"/>
        <v>121655.16000000002</v>
      </c>
      <c r="S16" s="386">
        <f t="shared" si="4"/>
        <v>0</v>
      </c>
      <c r="T16" s="386">
        <f t="shared" si="4"/>
        <v>0</v>
      </c>
      <c r="U16" s="386">
        <f t="shared" si="4"/>
        <v>0</v>
      </c>
      <c r="V16" s="386">
        <f t="shared" si="4"/>
        <v>0</v>
      </c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386"/>
      <c r="AM16" s="386"/>
      <c r="AN16" s="386"/>
      <c r="AO16" s="386"/>
      <c r="AP16" s="386"/>
      <c r="AQ16" s="386"/>
      <c r="AR16" s="386"/>
      <c r="AS16" s="386"/>
      <c r="AT16" s="386"/>
      <c r="AU16" s="387">
        <f t="shared" si="2"/>
        <v>2433103.2000000007</v>
      </c>
      <c r="AV16" s="387">
        <f t="shared" si="5"/>
        <v>2433103.2000000002</v>
      </c>
      <c r="AW16" s="387">
        <f t="shared" si="6"/>
        <v>0</v>
      </c>
      <c r="BV16"/>
      <c r="BW16"/>
    </row>
    <row r="17" spans="1:75">
      <c r="A17" s="384" t="str">
        <f>'Courthouse Financial '!A46</f>
        <v>Taxes</v>
      </c>
      <c r="B17" s="490">
        <f>'Courthouse Financial '!C46</f>
        <v>485649.99999999994</v>
      </c>
      <c r="C17" s="386">
        <f t="shared" ref="C17:R25" si="7">$B17*C$4</f>
        <v>0</v>
      </c>
      <c r="D17" s="386">
        <f t="shared" si="7"/>
        <v>0</v>
      </c>
      <c r="E17" s="386">
        <f t="shared" si="7"/>
        <v>0</v>
      </c>
      <c r="F17" s="386">
        <f t="shared" si="7"/>
        <v>24282.5</v>
      </c>
      <c r="G17" s="386">
        <f t="shared" si="7"/>
        <v>24282.5</v>
      </c>
      <c r="H17" s="386">
        <f t="shared" si="7"/>
        <v>24282.5</v>
      </c>
      <c r="I17" s="386">
        <f t="shared" si="7"/>
        <v>24282.5</v>
      </c>
      <c r="J17" s="386">
        <f t="shared" si="7"/>
        <v>58277.999999999993</v>
      </c>
      <c r="K17" s="386">
        <f t="shared" si="7"/>
        <v>58277.999999999993</v>
      </c>
      <c r="L17" s="386">
        <f t="shared" si="7"/>
        <v>58277.999999999993</v>
      </c>
      <c r="M17" s="386">
        <f t="shared" si="7"/>
        <v>58277.999999999993</v>
      </c>
      <c r="N17" s="386">
        <f t="shared" si="7"/>
        <v>58277.999999999993</v>
      </c>
      <c r="O17" s="386">
        <f t="shared" si="7"/>
        <v>24282.5</v>
      </c>
      <c r="P17" s="386">
        <f t="shared" si="7"/>
        <v>24282.5</v>
      </c>
      <c r="Q17" s="386">
        <f t="shared" si="7"/>
        <v>24282.5</v>
      </c>
      <c r="R17" s="386">
        <f>$B17*R$4</f>
        <v>24282.5</v>
      </c>
      <c r="S17" s="386">
        <f t="shared" ref="S17:V25" si="8">$B17*S$4</f>
        <v>0</v>
      </c>
      <c r="T17" s="386">
        <f t="shared" si="8"/>
        <v>0</v>
      </c>
      <c r="U17" s="386">
        <f t="shared" si="8"/>
        <v>0</v>
      </c>
      <c r="V17" s="386">
        <f>$B17*V$4</f>
        <v>0</v>
      </c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386"/>
      <c r="AK17" s="386"/>
      <c r="AL17" s="386"/>
      <c r="AM17" s="386"/>
      <c r="AN17" s="386"/>
      <c r="AO17" s="386"/>
      <c r="AP17" s="386"/>
      <c r="AQ17" s="386"/>
      <c r="AR17" s="386"/>
      <c r="AS17" s="386"/>
      <c r="AT17" s="386"/>
      <c r="AU17" s="387">
        <f t="shared" si="2"/>
        <v>485650</v>
      </c>
      <c r="AV17" s="387">
        <f t="shared" si="5"/>
        <v>485649.99999999994</v>
      </c>
      <c r="AW17" s="387">
        <f t="shared" ref="AW17:AW25" si="9">AV17-AU17</f>
        <v>0</v>
      </c>
      <c r="BV17"/>
      <c r="BW17"/>
    </row>
    <row r="18" spans="1:75">
      <c r="A18" s="384" t="str">
        <f>'Courthouse Financial '!A47</f>
        <v>Insurance</v>
      </c>
      <c r="B18" s="490">
        <f>'Courthouse Financial '!C47</f>
        <v>991342</v>
      </c>
      <c r="C18" s="386">
        <f t="shared" si="7"/>
        <v>0</v>
      </c>
      <c r="D18" s="386">
        <f t="shared" si="7"/>
        <v>0</v>
      </c>
      <c r="E18" s="386">
        <f t="shared" si="7"/>
        <v>0</v>
      </c>
      <c r="F18" s="386">
        <f t="shared" si="7"/>
        <v>49567.100000000006</v>
      </c>
      <c r="G18" s="386">
        <f t="shared" si="7"/>
        <v>49567.100000000006</v>
      </c>
      <c r="H18" s="386">
        <f t="shared" si="7"/>
        <v>49567.100000000006</v>
      </c>
      <c r="I18" s="386">
        <f t="shared" si="7"/>
        <v>49567.100000000006</v>
      </c>
      <c r="J18" s="386">
        <f t="shared" si="7"/>
        <v>118961.04</v>
      </c>
      <c r="K18" s="386">
        <f t="shared" si="7"/>
        <v>118961.04</v>
      </c>
      <c r="L18" s="386">
        <f t="shared" si="7"/>
        <v>118961.04</v>
      </c>
      <c r="M18" s="386">
        <f t="shared" si="7"/>
        <v>118961.04</v>
      </c>
      <c r="N18" s="386">
        <f t="shared" si="7"/>
        <v>118961.04</v>
      </c>
      <c r="O18" s="386">
        <f t="shared" si="7"/>
        <v>49567.100000000006</v>
      </c>
      <c r="P18" s="386">
        <f t="shared" si="7"/>
        <v>49567.100000000006</v>
      </c>
      <c r="Q18" s="386">
        <f t="shared" si="7"/>
        <v>49567.100000000006</v>
      </c>
      <c r="R18" s="386">
        <f t="shared" si="7"/>
        <v>49567.100000000006</v>
      </c>
      <c r="S18" s="386">
        <f t="shared" si="8"/>
        <v>0</v>
      </c>
      <c r="T18" s="386">
        <f t="shared" si="8"/>
        <v>0</v>
      </c>
      <c r="U18" s="386">
        <f t="shared" si="8"/>
        <v>0</v>
      </c>
      <c r="V18" s="386">
        <f t="shared" si="8"/>
        <v>0</v>
      </c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87">
        <f t="shared" si="2"/>
        <v>991342</v>
      </c>
      <c r="AV18" s="387">
        <f t="shared" si="5"/>
        <v>991342</v>
      </c>
      <c r="AW18" s="387">
        <f t="shared" si="9"/>
        <v>0</v>
      </c>
      <c r="BV18"/>
      <c r="BW18"/>
    </row>
    <row r="19" spans="1:75">
      <c r="A19" s="384" t="str">
        <f>'Courthouse Financial '!A48</f>
        <v>Marketing, FFE and Preleasing</v>
      </c>
      <c r="B19" s="387">
        <f>'Courthouse Financial '!C48</f>
        <v>495671</v>
      </c>
      <c r="C19" s="386">
        <f t="shared" si="7"/>
        <v>0</v>
      </c>
      <c r="D19" s="386">
        <f t="shared" si="7"/>
        <v>0</v>
      </c>
      <c r="E19" s="386">
        <f t="shared" si="7"/>
        <v>0</v>
      </c>
      <c r="F19" s="386">
        <f t="shared" si="7"/>
        <v>24783.550000000003</v>
      </c>
      <c r="G19" s="386">
        <f t="shared" si="7"/>
        <v>24783.550000000003</v>
      </c>
      <c r="H19" s="386">
        <f t="shared" si="7"/>
        <v>24783.550000000003</v>
      </c>
      <c r="I19" s="386">
        <f t="shared" si="7"/>
        <v>24783.550000000003</v>
      </c>
      <c r="J19" s="386">
        <f t="shared" si="7"/>
        <v>59480.52</v>
      </c>
      <c r="K19" s="386">
        <f t="shared" si="7"/>
        <v>59480.52</v>
      </c>
      <c r="L19" s="386">
        <f t="shared" si="7"/>
        <v>59480.52</v>
      </c>
      <c r="M19" s="386">
        <f t="shared" si="7"/>
        <v>59480.52</v>
      </c>
      <c r="N19" s="386">
        <f t="shared" si="7"/>
        <v>59480.52</v>
      </c>
      <c r="O19" s="386">
        <f t="shared" si="7"/>
        <v>24783.550000000003</v>
      </c>
      <c r="P19" s="386">
        <f t="shared" si="7"/>
        <v>24783.550000000003</v>
      </c>
      <c r="Q19" s="386">
        <f t="shared" si="7"/>
        <v>24783.550000000003</v>
      </c>
      <c r="R19" s="386">
        <f t="shared" si="7"/>
        <v>24783.550000000003</v>
      </c>
      <c r="S19" s="386">
        <f t="shared" si="8"/>
        <v>0</v>
      </c>
      <c r="T19" s="386">
        <f t="shared" si="8"/>
        <v>0</v>
      </c>
      <c r="U19" s="386">
        <f t="shared" si="8"/>
        <v>0</v>
      </c>
      <c r="V19" s="386">
        <f t="shared" si="8"/>
        <v>0</v>
      </c>
      <c r="W19" s="388"/>
      <c r="X19" s="388"/>
      <c r="Y19" s="388"/>
      <c r="Z19" s="388"/>
      <c r="AA19" s="388"/>
      <c r="AB19" s="388"/>
      <c r="AC19" s="388"/>
      <c r="AD19" s="388"/>
      <c r="AE19" s="454"/>
      <c r="AF19" s="454"/>
      <c r="AG19" s="454"/>
      <c r="AH19" s="454"/>
      <c r="AI19" s="454"/>
      <c r="AJ19" s="454"/>
      <c r="AK19" s="454"/>
      <c r="AL19" s="454"/>
      <c r="AM19" s="454"/>
      <c r="AN19" s="454"/>
      <c r="AO19" s="454"/>
      <c r="AP19" s="454"/>
      <c r="AQ19" s="454"/>
      <c r="AR19" s="454"/>
      <c r="AS19" s="454"/>
      <c r="AT19" s="454"/>
      <c r="AU19" s="387">
        <f>SUM(D19:AT19)</f>
        <v>495671</v>
      </c>
      <c r="AV19" s="387">
        <f t="shared" si="5"/>
        <v>495671</v>
      </c>
      <c r="AW19" s="387">
        <f t="shared" si="9"/>
        <v>0</v>
      </c>
      <c r="BV19"/>
      <c r="BW19"/>
    </row>
    <row r="20" spans="1:75">
      <c r="A20" s="384" t="str">
        <f>'Courthouse Financial '!A49</f>
        <v>Net interest during closeout</v>
      </c>
      <c r="B20" s="490">
        <f>'Courthouse Financial '!C49</f>
        <v>1173321</v>
      </c>
      <c r="C20" s="386">
        <f t="shared" si="7"/>
        <v>0</v>
      </c>
      <c r="D20" s="386">
        <f t="shared" si="7"/>
        <v>0</v>
      </c>
      <c r="E20" s="386">
        <f t="shared" si="7"/>
        <v>0</v>
      </c>
      <c r="F20" s="386">
        <f t="shared" si="7"/>
        <v>58666.05</v>
      </c>
      <c r="G20" s="386">
        <f t="shared" si="7"/>
        <v>58666.05</v>
      </c>
      <c r="H20" s="386">
        <f t="shared" si="7"/>
        <v>58666.05</v>
      </c>
      <c r="I20" s="386">
        <f t="shared" si="7"/>
        <v>58666.05</v>
      </c>
      <c r="J20" s="386">
        <f t="shared" si="7"/>
        <v>140798.51999999999</v>
      </c>
      <c r="K20" s="386">
        <f t="shared" si="7"/>
        <v>140798.51999999999</v>
      </c>
      <c r="L20" s="386">
        <f t="shared" si="7"/>
        <v>140798.51999999999</v>
      </c>
      <c r="M20" s="386">
        <f t="shared" si="7"/>
        <v>140798.51999999999</v>
      </c>
      <c r="N20" s="386">
        <f t="shared" si="7"/>
        <v>140798.51999999999</v>
      </c>
      <c r="O20" s="386">
        <f t="shared" si="7"/>
        <v>58666.05</v>
      </c>
      <c r="P20" s="386">
        <f t="shared" si="7"/>
        <v>58666.05</v>
      </c>
      <c r="Q20" s="386">
        <f t="shared" si="7"/>
        <v>58666.05</v>
      </c>
      <c r="R20" s="386">
        <f t="shared" si="7"/>
        <v>58666.05</v>
      </c>
      <c r="S20" s="386">
        <f t="shared" si="8"/>
        <v>0</v>
      </c>
      <c r="T20" s="386">
        <f t="shared" si="8"/>
        <v>0</v>
      </c>
      <c r="U20" s="386">
        <f t="shared" si="8"/>
        <v>0</v>
      </c>
      <c r="V20" s="386">
        <f t="shared" si="8"/>
        <v>0</v>
      </c>
      <c r="W20" s="388"/>
      <c r="X20" s="388"/>
      <c r="Y20" s="388"/>
      <c r="Z20" s="388"/>
      <c r="AA20" s="388"/>
      <c r="AB20" s="388"/>
      <c r="AC20" s="388"/>
      <c r="AD20" s="388"/>
      <c r="AE20" s="454"/>
      <c r="AF20" s="454"/>
      <c r="AG20" s="454"/>
      <c r="AH20" s="454"/>
      <c r="AI20" s="454"/>
      <c r="AJ20" s="454"/>
      <c r="AK20" s="455"/>
      <c r="AL20" s="454"/>
      <c r="AM20" s="454"/>
      <c r="AN20" s="454"/>
      <c r="AO20" s="454"/>
      <c r="AP20" s="454"/>
      <c r="AQ20" s="454"/>
      <c r="AR20" s="454"/>
      <c r="AS20" s="454"/>
      <c r="AT20" s="454"/>
      <c r="AU20" s="387">
        <f t="shared" ref="AU20:AU25" si="10">SUM(C20:AT20)</f>
        <v>1173321.0000000002</v>
      </c>
      <c r="AV20" s="387">
        <f t="shared" si="5"/>
        <v>1173321</v>
      </c>
      <c r="AW20" s="387">
        <f t="shared" si="9"/>
        <v>0</v>
      </c>
      <c r="BV20"/>
      <c r="BW20"/>
    </row>
    <row r="21" spans="1:75">
      <c r="A21" s="384" t="str">
        <f>'Courthouse Financial '!A50</f>
        <v>Retail Tenant Improvements</v>
      </c>
      <c r="B21" s="490">
        <f>'Courthouse Financial '!C50</f>
        <v>3729075</v>
      </c>
      <c r="C21" s="386">
        <f t="shared" si="7"/>
        <v>0</v>
      </c>
      <c r="D21" s="386">
        <f t="shared" si="7"/>
        <v>0</v>
      </c>
      <c r="E21" s="386">
        <f t="shared" si="7"/>
        <v>0</v>
      </c>
      <c r="F21" s="386">
        <f t="shared" si="7"/>
        <v>186453.75</v>
      </c>
      <c r="G21" s="386">
        <f t="shared" si="7"/>
        <v>186453.75</v>
      </c>
      <c r="H21" s="386">
        <f t="shared" si="7"/>
        <v>186453.75</v>
      </c>
      <c r="I21" s="386">
        <f t="shared" si="7"/>
        <v>186453.75</v>
      </c>
      <c r="J21" s="386">
        <f t="shared" si="7"/>
        <v>447489</v>
      </c>
      <c r="K21" s="386">
        <f t="shared" si="7"/>
        <v>447489</v>
      </c>
      <c r="L21" s="386">
        <f t="shared" si="7"/>
        <v>447489</v>
      </c>
      <c r="M21" s="386">
        <f t="shared" si="7"/>
        <v>447489</v>
      </c>
      <c r="N21" s="386">
        <f t="shared" si="7"/>
        <v>447489</v>
      </c>
      <c r="O21" s="386">
        <f t="shared" si="7"/>
        <v>186453.75</v>
      </c>
      <c r="P21" s="386">
        <f t="shared" si="7"/>
        <v>186453.75</v>
      </c>
      <c r="Q21" s="386">
        <f t="shared" si="7"/>
        <v>186453.75</v>
      </c>
      <c r="R21" s="386">
        <f t="shared" si="7"/>
        <v>186453.75</v>
      </c>
      <c r="S21" s="386">
        <f t="shared" si="8"/>
        <v>0</v>
      </c>
      <c r="T21" s="386">
        <f t="shared" si="8"/>
        <v>0</v>
      </c>
      <c r="U21" s="386">
        <f t="shared" si="8"/>
        <v>0</v>
      </c>
      <c r="V21" s="386">
        <f t="shared" si="8"/>
        <v>0</v>
      </c>
      <c r="W21" s="388"/>
      <c r="X21" s="388"/>
      <c r="Y21" s="388"/>
      <c r="Z21" s="388"/>
      <c r="AA21" s="388"/>
      <c r="AB21" s="388"/>
      <c r="AC21" s="388"/>
      <c r="AD21" s="388"/>
      <c r="AE21" s="454"/>
      <c r="AF21" s="454"/>
      <c r="AG21" s="454"/>
      <c r="AH21" s="454"/>
      <c r="AI21" s="454"/>
      <c r="AJ21" s="454"/>
      <c r="AK21" s="455"/>
      <c r="AL21" s="454"/>
      <c r="AM21" s="454"/>
      <c r="AN21" s="454"/>
      <c r="AO21" s="454"/>
      <c r="AP21" s="454"/>
      <c r="AQ21" s="454"/>
      <c r="AR21" s="454"/>
      <c r="AS21" s="454"/>
      <c r="AT21" s="454"/>
      <c r="AU21" s="387">
        <f t="shared" si="10"/>
        <v>3729075</v>
      </c>
      <c r="AV21" s="387">
        <f t="shared" si="5"/>
        <v>3729075</v>
      </c>
      <c r="AW21" s="387">
        <f t="shared" si="9"/>
        <v>0</v>
      </c>
      <c r="BV21"/>
      <c r="BW21"/>
    </row>
    <row r="22" spans="1:75">
      <c r="A22" s="384" t="str">
        <f>'Courthouse Financial '!A51</f>
        <v>Retail brokerage</v>
      </c>
      <c r="B22" s="490">
        <f>'Courthouse Financial '!C51</f>
        <v>551903.1</v>
      </c>
      <c r="C22" s="386">
        <f>B22</f>
        <v>551903.1</v>
      </c>
      <c r="D22" s="386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6">
        <v>0</v>
      </c>
      <c r="R22" s="386">
        <v>0</v>
      </c>
      <c r="S22" s="386">
        <f t="shared" si="8"/>
        <v>0</v>
      </c>
      <c r="T22" s="386">
        <f t="shared" si="8"/>
        <v>0</v>
      </c>
      <c r="U22" s="386">
        <f t="shared" si="8"/>
        <v>0</v>
      </c>
      <c r="V22" s="386">
        <f t="shared" si="8"/>
        <v>0</v>
      </c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388"/>
      <c r="AH22" s="388"/>
      <c r="AI22" s="388"/>
      <c r="AJ22" s="388"/>
      <c r="AK22" s="458"/>
      <c r="AL22" s="388"/>
      <c r="AM22" s="388"/>
      <c r="AN22" s="388"/>
      <c r="AO22" s="388"/>
      <c r="AP22" s="388"/>
      <c r="AQ22" s="388"/>
      <c r="AR22" s="388"/>
      <c r="AS22" s="388"/>
      <c r="AT22" s="388"/>
      <c r="AU22" s="387">
        <f t="shared" si="10"/>
        <v>551903.1</v>
      </c>
      <c r="AV22" s="387">
        <f t="shared" si="5"/>
        <v>551903.1</v>
      </c>
      <c r="AW22" s="387">
        <f t="shared" si="9"/>
        <v>0</v>
      </c>
      <c r="BV22"/>
      <c r="BW22"/>
    </row>
    <row r="23" spans="1:75">
      <c r="A23" s="384" t="str">
        <f>'Courthouse Financial '!A52</f>
        <v>Construction Loan Origination</v>
      </c>
      <c r="B23" s="490">
        <f>'Courthouse Financial '!C52</f>
        <v>1966935</v>
      </c>
      <c r="C23" s="386">
        <f>B23</f>
        <v>1966935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>
        <v>0</v>
      </c>
      <c r="R23" s="386">
        <v>0</v>
      </c>
      <c r="S23" s="386">
        <f t="shared" si="8"/>
        <v>0</v>
      </c>
      <c r="T23" s="386">
        <f t="shared" si="8"/>
        <v>0</v>
      </c>
      <c r="U23" s="386">
        <f t="shared" si="8"/>
        <v>0</v>
      </c>
      <c r="V23" s="386">
        <f t="shared" si="8"/>
        <v>0</v>
      </c>
      <c r="W23" s="386"/>
      <c r="X23" s="386"/>
      <c r="Y23" s="386"/>
      <c r="Z23" s="386"/>
      <c r="AA23" s="386"/>
      <c r="AB23" s="386"/>
      <c r="AC23" s="386"/>
      <c r="AD23" s="386"/>
      <c r="AE23" s="389"/>
      <c r="AF23" s="389"/>
      <c r="AG23" s="389"/>
      <c r="AH23" s="389"/>
      <c r="AI23" s="389"/>
      <c r="AJ23" s="389"/>
      <c r="AK23" s="460"/>
      <c r="AL23" s="389"/>
      <c r="AM23" s="389"/>
      <c r="AN23" s="389"/>
      <c r="AO23" s="389"/>
      <c r="AP23" s="389"/>
      <c r="AQ23" s="389"/>
      <c r="AR23" s="389"/>
      <c r="AS23" s="389"/>
      <c r="AT23" s="389"/>
      <c r="AU23" s="387">
        <f t="shared" si="10"/>
        <v>1966935</v>
      </c>
      <c r="AV23" s="387">
        <f t="shared" si="5"/>
        <v>1966935</v>
      </c>
      <c r="AW23" s="387">
        <f t="shared" si="9"/>
        <v>0</v>
      </c>
      <c r="BV23"/>
      <c r="BW23"/>
    </row>
    <row r="24" spans="1:75">
      <c r="A24" s="384" t="str">
        <f>'Courthouse Financial '!A53</f>
        <v>Construction Interest</v>
      </c>
      <c r="B24" s="490">
        <f>'Courthouse Financial '!C53</f>
        <v>7871520</v>
      </c>
      <c r="C24" s="704">
        <f t="shared" si="7"/>
        <v>0</v>
      </c>
      <c r="D24" s="704">
        <f t="shared" si="7"/>
        <v>0</v>
      </c>
      <c r="E24" s="704">
        <f t="shared" si="7"/>
        <v>0</v>
      </c>
      <c r="F24" s="704">
        <f t="shared" si="7"/>
        <v>393576</v>
      </c>
      <c r="G24" s="704">
        <f t="shared" si="7"/>
        <v>393576</v>
      </c>
      <c r="H24" s="704">
        <f t="shared" si="7"/>
        <v>393576</v>
      </c>
      <c r="I24" s="704">
        <f t="shared" si="7"/>
        <v>393576</v>
      </c>
      <c r="J24" s="704">
        <f t="shared" si="7"/>
        <v>944582.39999999991</v>
      </c>
      <c r="K24" s="704">
        <f t="shared" si="7"/>
        <v>944582.39999999991</v>
      </c>
      <c r="L24" s="704">
        <f t="shared" si="7"/>
        <v>944582.39999999991</v>
      </c>
      <c r="M24" s="704">
        <f t="shared" si="7"/>
        <v>944582.39999999991</v>
      </c>
      <c r="N24" s="704">
        <f t="shared" si="7"/>
        <v>944582.39999999991</v>
      </c>
      <c r="O24" s="704">
        <f t="shared" si="7"/>
        <v>393576</v>
      </c>
      <c r="P24" s="704">
        <f t="shared" si="7"/>
        <v>393576</v>
      </c>
      <c r="Q24" s="704">
        <f t="shared" si="7"/>
        <v>393576</v>
      </c>
      <c r="R24" s="704">
        <f t="shared" si="7"/>
        <v>393576</v>
      </c>
      <c r="S24" s="704">
        <f t="shared" si="8"/>
        <v>0</v>
      </c>
      <c r="T24" s="704">
        <f t="shared" si="8"/>
        <v>0</v>
      </c>
      <c r="U24" s="704">
        <f t="shared" si="8"/>
        <v>0</v>
      </c>
      <c r="V24" s="704">
        <f t="shared" si="8"/>
        <v>0</v>
      </c>
      <c r="W24" s="704"/>
      <c r="X24" s="704"/>
      <c r="Y24" s="704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  <c r="AK24" s="704"/>
      <c r="AL24" s="704"/>
      <c r="AM24" s="704"/>
      <c r="AN24" s="704"/>
      <c r="AO24" s="704"/>
      <c r="AP24" s="704"/>
      <c r="AQ24" s="704"/>
      <c r="AR24" s="704"/>
      <c r="AS24" s="704"/>
      <c r="AT24" s="704"/>
      <c r="AU24" s="417">
        <f t="shared" si="10"/>
        <v>7871520</v>
      </c>
      <c r="AV24" s="417">
        <f t="shared" si="5"/>
        <v>7871520</v>
      </c>
      <c r="AW24" s="417">
        <f t="shared" si="9"/>
        <v>0</v>
      </c>
      <c r="BV24"/>
      <c r="BW24"/>
    </row>
    <row r="25" spans="1:75" s="707" customFormat="1" ht="15.75" thickBot="1">
      <c r="A25" s="467" t="str">
        <f>'Courthouse Financial '!A54</f>
        <v>Additional Contingency</v>
      </c>
      <c r="B25" s="705">
        <f>'Courthouse Financial '!C54</f>
        <v>2183543.1006399998</v>
      </c>
      <c r="C25" s="399">
        <f t="shared" si="7"/>
        <v>0</v>
      </c>
      <c r="D25" s="399">
        <f t="shared" si="7"/>
        <v>0</v>
      </c>
      <c r="E25" s="399">
        <f t="shared" si="7"/>
        <v>0</v>
      </c>
      <c r="F25" s="399">
        <f t="shared" si="7"/>
        <v>109177.155032</v>
      </c>
      <c r="G25" s="399">
        <f t="shared" si="7"/>
        <v>109177.155032</v>
      </c>
      <c r="H25" s="399">
        <f t="shared" si="7"/>
        <v>109177.155032</v>
      </c>
      <c r="I25" s="399">
        <f t="shared" si="7"/>
        <v>109177.155032</v>
      </c>
      <c r="J25" s="399">
        <f t="shared" si="7"/>
        <v>262025.17207679996</v>
      </c>
      <c r="K25" s="399">
        <f t="shared" si="7"/>
        <v>262025.17207679996</v>
      </c>
      <c r="L25" s="399">
        <f t="shared" si="7"/>
        <v>262025.17207679996</v>
      </c>
      <c r="M25" s="399">
        <f t="shared" si="7"/>
        <v>262025.17207679996</v>
      </c>
      <c r="N25" s="399">
        <f t="shared" si="7"/>
        <v>262025.17207679996</v>
      </c>
      <c r="O25" s="399">
        <f t="shared" si="7"/>
        <v>109177.155032</v>
      </c>
      <c r="P25" s="399">
        <f t="shared" si="7"/>
        <v>109177.155032</v>
      </c>
      <c r="Q25" s="399">
        <f t="shared" si="7"/>
        <v>109177.155032</v>
      </c>
      <c r="R25" s="399">
        <f t="shared" si="7"/>
        <v>109177.155032</v>
      </c>
      <c r="S25" s="399">
        <f t="shared" si="8"/>
        <v>0</v>
      </c>
      <c r="T25" s="399">
        <f t="shared" si="8"/>
        <v>0</v>
      </c>
      <c r="U25" s="399">
        <f t="shared" si="8"/>
        <v>0</v>
      </c>
      <c r="V25" s="399">
        <f t="shared" si="8"/>
        <v>0</v>
      </c>
      <c r="W25" s="399"/>
      <c r="X25" s="399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399"/>
      <c r="AS25" s="399"/>
      <c r="AT25" s="399"/>
      <c r="AU25" s="400">
        <f t="shared" si="10"/>
        <v>2183543.1006399998</v>
      </c>
      <c r="AV25" s="400">
        <f t="shared" si="5"/>
        <v>2183543.1006399998</v>
      </c>
      <c r="AW25" s="400">
        <f t="shared" si="9"/>
        <v>0</v>
      </c>
      <c r="AX25" s="706"/>
      <c r="AY25" s="706"/>
      <c r="AZ25" s="706"/>
      <c r="BA25" s="706"/>
      <c r="BB25" s="706"/>
      <c r="BC25" s="706"/>
      <c r="BD25" s="706"/>
      <c r="BE25" s="706"/>
      <c r="BF25" s="706"/>
      <c r="BG25" s="706"/>
      <c r="BH25" s="706"/>
      <c r="BI25" s="706"/>
      <c r="BJ25" s="706"/>
      <c r="BK25" s="706"/>
      <c r="BL25" s="706"/>
      <c r="BM25" s="706"/>
      <c r="BN25" s="706"/>
      <c r="BO25" s="706"/>
      <c r="BP25" s="706"/>
      <c r="BQ25" s="706"/>
      <c r="BR25" s="706"/>
      <c r="BS25" s="706"/>
      <c r="BT25" s="706"/>
      <c r="BU25" s="706"/>
      <c r="BV25" s="706"/>
      <c r="BW25" s="706"/>
    </row>
    <row r="26" spans="1:75" ht="16.5" thickTop="1" thickBot="1">
      <c r="A26" s="173" t="s">
        <v>224</v>
      </c>
      <c r="B26" s="174">
        <f>SUM(B5:B25)</f>
        <v>220537853.16463998</v>
      </c>
      <c r="C26" s="149">
        <f>SUM(C5:C25)</f>
        <v>59283722.100000001</v>
      </c>
      <c r="D26" s="149">
        <f t="shared" ref="D26:AW26" si="11">SUM(D5:D25)</f>
        <v>0</v>
      </c>
      <c r="E26" s="149">
        <f t="shared" si="11"/>
        <v>0</v>
      </c>
      <c r="F26" s="149">
        <f t="shared" si="11"/>
        <v>8062706.5532319993</v>
      </c>
      <c r="G26" s="149">
        <f t="shared" si="11"/>
        <v>8062706.5532319993</v>
      </c>
      <c r="H26" s="149">
        <f t="shared" si="11"/>
        <v>8062706.5532319993</v>
      </c>
      <c r="I26" s="149">
        <f t="shared" si="11"/>
        <v>8062706.5532319993</v>
      </c>
      <c r="J26" s="149">
        <f t="shared" si="11"/>
        <v>19350495.727756795</v>
      </c>
      <c r="K26" s="149">
        <f t="shared" si="11"/>
        <v>19350495.727756795</v>
      </c>
      <c r="L26" s="149">
        <f t="shared" si="11"/>
        <v>19350495.727756795</v>
      </c>
      <c r="M26" s="149">
        <f t="shared" si="11"/>
        <v>19350495.727756795</v>
      </c>
      <c r="N26" s="149">
        <f t="shared" si="11"/>
        <v>19350495.727756795</v>
      </c>
      <c r="O26" s="149">
        <f t="shared" si="11"/>
        <v>8062706.5532319993</v>
      </c>
      <c r="P26" s="149">
        <f t="shared" si="11"/>
        <v>8062706.5532319993</v>
      </c>
      <c r="Q26" s="149">
        <f t="shared" si="11"/>
        <v>8062706.5532319993</v>
      </c>
      <c r="R26" s="149">
        <f t="shared" si="11"/>
        <v>8062706.5532319993</v>
      </c>
      <c r="S26" s="149">
        <f t="shared" si="11"/>
        <v>0</v>
      </c>
      <c r="T26" s="149">
        <f t="shared" si="11"/>
        <v>0</v>
      </c>
      <c r="U26" s="149">
        <f t="shared" si="11"/>
        <v>0</v>
      </c>
      <c r="V26" s="149">
        <f t="shared" si="11"/>
        <v>0</v>
      </c>
      <c r="W26" s="149">
        <f t="shared" si="11"/>
        <v>0</v>
      </c>
      <c r="X26" s="149">
        <f t="shared" si="11"/>
        <v>0</v>
      </c>
      <c r="Y26" s="149">
        <f t="shared" si="11"/>
        <v>0</v>
      </c>
      <c r="Z26" s="149">
        <f t="shared" si="11"/>
        <v>0</v>
      </c>
      <c r="AA26" s="149">
        <f t="shared" si="11"/>
        <v>0</v>
      </c>
      <c r="AB26" s="149">
        <f t="shared" si="11"/>
        <v>0</v>
      </c>
      <c r="AC26" s="149">
        <f t="shared" si="11"/>
        <v>0</v>
      </c>
      <c r="AD26" s="149">
        <f t="shared" si="11"/>
        <v>0</v>
      </c>
      <c r="AE26" s="149">
        <f t="shared" si="11"/>
        <v>0</v>
      </c>
      <c r="AF26" s="149">
        <f t="shared" si="11"/>
        <v>0</v>
      </c>
      <c r="AG26" s="149">
        <f t="shared" si="11"/>
        <v>0</v>
      </c>
      <c r="AH26" s="149">
        <f t="shared" si="11"/>
        <v>0</v>
      </c>
      <c r="AI26" s="149">
        <f t="shared" si="11"/>
        <v>0</v>
      </c>
      <c r="AJ26" s="149">
        <f t="shared" si="11"/>
        <v>0</v>
      </c>
      <c r="AK26" s="149">
        <f t="shared" si="11"/>
        <v>0</v>
      </c>
      <c r="AL26" s="149">
        <f t="shared" si="11"/>
        <v>0</v>
      </c>
      <c r="AM26" s="149">
        <f t="shared" si="11"/>
        <v>0</v>
      </c>
      <c r="AN26" s="149">
        <f t="shared" si="11"/>
        <v>0</v>
      </c>
      <c r="AO26" s="149">
        <f t="shared" si="11"/>
        <v>0</v>
      </c>
      <c r="AP26" s="149">
        <f t="shared" si="11"/>
        <v>0</v>
      </c>
      <c r="AQ26" s="149">
        <f t="shared" si="11"/>
        <v>0</v>
      </c>
      <c r="AR26" s="149">
        <f t="shared" si="11"/>
        <v>0</v>
      </c>
      <c r="AS26" s="149">
        <f t="shared" si="11"/>
        <v>0</v>
      </c>
      <c r="AT26" s="149">
        <f t="shared" si="11"/>
        <v>0</v>
      </c>
      <c r="AU26" s="149">
        <f t="shared" si="11"/>
        <v>220537853.16463998</v>
      </c>
      <c r="AV26" s="149">
        <f t="shared" si="11"/>
        <v>220537853.16463998</v>
      </c>
      <c r="AW26" s="149">
        <f t="shared" si="11"/>
        <v>0</v>
      </c>
      <c r="BV26"/>
      <c r="BW26"/>
    </row>
    <row r="27" spans="1:75">
      <c r="A27" s="147" t="s">
        <v>261</v>
      </c>
      <c r="B27" s="175">
        <f>IF('Courthouse Financial '!B59&lt;0,'Courthouse Financial '!B59,0)</f>
        <v>0</v>
      </c>
      <c r="C27" s="176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6"/>
      <c r="AL27" s="178"/>
      <c r="AM27" s="178"/>
      <c r="AN27" s="178"/>
      <c r="AO27" s="178"/>
      <c r="AP27" s="178"/>
      <c r="AQ27" s="178"/>
      <c r="AR27" s="178"/>
      <c r="AS27" s="178"/>
      <c r="AT27" s="178"/>
      <c r="AU27" s="179"/>
      <c r="AV27" s="176"/>
      <c r="AW27" s="145"/>
      <c r="BV27"/>
      <c r="BW27"/>
    </row>
    <row r="28" spans="1:75" ht="15.75" thickBot="1">
      <c r="A28" s="401" t="s">
        <v>262</v>
      </c>
      <c r="B28" s="491">
        <f>B26+B27</f>
        <v>220537853.16463998</v>
      </c>
      <c r="C28" s="492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2"/>
      <c r="AA28" s="412"/>
      <c r="AB28" s="412"/>
      <c r="AC28" s="412"/>
      <c r="AD28" s="412"/>
      <c r="AE28" s="412"/>
      <c r="AF28" s="412"/>
      <c r="AG28" s="412"/>
      <c r="AH28" s="414"/>
      <c r="AI28" s="414"/>
      <c r="AJ28" s="414"/>
      <c r="AK28" s="492"/>
      <c r="AL28" s="217"/>
      <c r="AM28" s="217"/>
      <c r="AN28" s="217"/>
      <c r="AO28" s="217"/>
      <c r="AP28" s="217"/>
      <c r="AQ28" s="217"/>
      <c r="AR28" s="217"/>
      <c r="AS28" s="217"/>
      <c r="AT28" s="217"/>
      <c r="AU28" s="414"/>
      <c r="AV28" s="492"/>
      <c r="AW28" s="403"/>
      <c r="BV28"/>
      <c r="BW28"/>
    </row>
    <row r="29" spans="1:75">
      <c r="A29" s="154" t="s">
        <v>263</v>
      </c>
      <c r="B29" s="155">
        <f>SUM(C29:AT29)</f>
        <v>88215141.265855998</v>
      </c>
      <c r="C29" s="387">
        <f>C26</f>
        <v>59283722.100000001</v>
      </c>
      <c r="D29" s="387">
        <f t="shared" ref="D29:U29" si="12">IF(C30+D26&lt;=$B$30,D26,($B$30-C30))</f>
        <v>0</v>
      </c>
      <c r="E29" s="387">
        <f t="shared" si="12"/>
        <v>0</v>
      </c>
      <c r="F29" s="387">
        <f t="shared" si="12"/>
        <v>8062706.5532319993</v>
      </c>
      <c r="G29" s="387">
        <f t="shared" si="12"/>
        <v>8062706.5532319993</v>
      </c>
      <c r="H29" s="387">
        <f t="shared" si="12"/>
        <v>8062706.5532319993</v>
      </c>
      <c r="I29" s="387">
        <f t="shared" si="12"/>
        <v>4743299.506159991</v>
      </c>
      <c r="J29" s="387">
        <f t="shared" si="12"/>
        <v>0</v>
      </c>
      <c r="K29" s="387">
        <f t="shared" si="12"/>
        <v>0</v>
      </c>
      <c r="L29" s="387">
        <f t="shared" si="12"/>
        <v>0</v>
      </c>
      <c r="M29" s="387">
        <f t="shared" si="12"/>
        <v>0</v>
      </c>
      <c r="N29" s="387">
        <f t="shared" si="12"/>
        <v>0</v>
      </c>
      <c r="O29" s="387">
        <f t="shared" si="12"/>
        <v>0</v>
      </c>
      <c r="P29" s="387">
        <f t="shared" si="12"/>
        <v>0</v>
      </c>
      <c r="Q29" s="387">
        <f t="shared" si="12"/>
        <v>0</v>
      </c>
      <c r="R29" s="387">
        <f t="shared" si="12"/>
        <v>0</v>
      </c>
      <c r="S29" s="387">
        <f t="shared" si="12"/>
        <v>0</v>
      </c>
      <c r="T29" s="387">
        <f t="shared" si="12"/>
        <v>0</v>
      </c>
      <c r="U29" s="387">
        <f t="shared" si="12"/>
        <v>0</v>
      </c>
      <c r="V29" s="387">
        <f>IF(U30+V26&lt;=$B$30,V26,($B$30-U30))</f>
        <v>0</v>
      </c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408"/>
      <c r="AV29" s="407"/>
      <c r="AW29" s="406"/>
      <c r="BV29"/>
      <c r="BW29"/>
    </row>
    <row r="30" spans="1:75" ht="15.75" thickBot="1">
      <c r="A30" s="384" t="s">
        <v>264</v>
      </c>
      <c r="B30" s="151">
        <f>'Courthouse Financial '!B66</f>
        <v>88215141.265855998</v>
      </c>
      <c r="C30" s="387">
        <f>C29</f>
        <v>59283722.100000001</v>
      </c>
      <c r="D30" s="387">
        <f>IF(SUM($C$29:D$29)&lt;=$B30,SUM($C$29:D$29),0)</f>
        <v>59283722.100000001</v>
      </c>
      <c r="E30" s="387">
        <f>IF(SUM($C$29:E29)&lt;=$B30,SUM($C$29:E29),0)</f>
        <v>59283722.100000001</v>
      </c>
      <c r="F30" s="387">
        <f>IF(SUM($C$29:F29)&lt;=$B30,SUM($C$29:F29),0)</f>
        <v>67346428.653232008</v>
      </c>
      <c r="G30" s="387">
        <f>IF(SUM($C$29:G29)&lt;=$B30,SUM($C$29:G29),0)</f>
        <v>75409135.206464007</v>
      </c>
      <c r="H30" s="387">
        <f>IF(SUM($C$29:H29)&lt;=$B30,SUM($C$29:H29),0)</f>
        <v>83471841.759696007</v>
      </c>
      <c r="I30" s="387">
        <f>IF(SUM($C$29:I29)&lt;=$B30,SUM($C$29:I29),0)</f>
        <v>88215141.265855998</v>
      </c>
      <c r="J30" s="387">
        <f>IF(SUM($C$29:J29)&lt;=$B30,SUM($C$29:J29),0)</f>
        <v>88215141.265855998</v>
      </c>
      <c r="K30" s="387">
        <f>IF(SUM($C$29:K29)&lt;=$B30,SUM($C$29:K29),0)</f>
        <v>88215141.265855998</v>
      </c>
      <c r="L30" s="387">
        <f>IF(SUM($C$29:L29)&lt;=$B30,SUM($C$29:L29),0)</f>
        <v>88215141.265855998</v>
      </c>
      <c r="M30" s="387">
        <f>IF(SUM($C$29:M29)&lt;=$B30,SUM($C$29:M29),0)</f>
        <v>88215141.265855998</v>
      </c>
      <c r="N30" s="387">
        <f>IF(SUM($C$29:N29)&lt;=$B30,SUM($C$29:N29),0)</f>
        <v>88215141.265855998</v>
      </c>
      <c r="O30" s="387">
        <f>IF(SUM($C$29:O29)&lt;=$B30,SUM($C$29:O29),0)</f>
        <v>88215141.265855998</v>
      </c>
      <c r="P30" s="387">
        <f>IF(SUM($C$29:P29)&lt;=$B30,SUM($C$29:P29),0)</f>
        <v>88215141.265855998</v>
      </c>
      <c r="Q30" s="387">
        <f>IF(SUM($C$29:Q29)&lt;=$B30,SUM($C$29:Q29),0)</f>
        <v>88215141.265855998</v>
      </c>
      <c r="R30" s="387">
        <f>IF(SUM($C$29:R29)&lt;=$B30,SUM($C$29:R29),0)</f>
        <v>88215141.265855998</v>
      </c>
      <c r="S30" s="387">
        <f>IF(SUM($C$29:S29)&lt;=$B30,SUM($C$29:S29),0)</f>
        <v>88215141.265855998</v>
      </c>
      <c r="T30" s="387">
        <f>IF(SUM($C$29:T29)&lt;=$B30,SUM($C$29:T29),0)</f>
        <v>88215141.265855998</v>
      </c>
      <c r="U30" s="387">
        <f>IF(SUM($C$29:U29)&lt;=$B30,SUM($C$29:U29),0)</f>
        <v>88215141.265855998</v>
      </c>
      <c r="V30" s="387">
        <f>IF(SUM($C$29:AP29)&lt;=$B30,SUM($C$29:AP29),0)</f>
        <v>88215141.265855998</v>
      </c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408"/>
      <c r="AV30" s="407"/>
      <c r="AW30" s="406"/>
      <c r="BV30"/>
      <c r="BW30"/>
    </row>
    <row r="31" spans="1:75">
      <c r="A31" s="152" t="s">
        <v>265</v>
      </c>
      <c r="B31" s="153">
        <f>'Courthouse Financial '!B65</f>
        <v>132322711.89878398</v>
      </c>
      <c r="C31" s="407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408"/>
      <c r="AQ31" s="408"/>
      <c r="AR31" s="408"/>
      <c r="AS31" s="408"/>
      <c r="AT31" s="408"/>
      <c r="AU31" s="408"/>
      <c r="AV31" s="407"/>
      <c r="AW31" s="406"/>
      <c r="BV31"/>
      <c r="BW31"/>
    </row>
    <row r="32" spans="1:75" ht="15.75" thickBot="1">
      <c r="A32" s="409" t="s">
        <v>266</v>
      </c>
      <c r="B32" s="410">
        <f>PMT(0.045,30,(B31))</f>
        <v>-8123495.445315606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8"/>
      <c r="AT32" s="408"/>
      <c r="AU32" s="408"/>
      <c r="AV32" s="407"/>
      <c r="AW32" s="406"/>
      <c r="BV32"/>
      <c r="BW32"/>
    </row>
    <row r="33" spans="1:75">
      <c r="A33" s="173" t="s">
        <v>267</v>
      </c>
      <c r="B33" s="230">
        <f>SUM(C33:AU33)</f>
        <v>0</v>
      </c>
      <c r="C33" s="417"/>
      <c r="D33" s="417"/>
      <c r="E33" s="417"/>
      <c r="F33" s="417"/>
      <c r="G33" s="417"/>
      <c r="H33" s="417"/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7"/>
      <c r="AD33" s="417"/>
      <c r="AE33" s="417"/>
      <c r="AF33" s="417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4"/>
      <c r="AV33" s="407"/>
      <c r="AW33" s="406"/>
      <c r="BV33"/>
      <c r="BW33"/>
    </row>
    <row r="34" spans="1:75">
      <c r="A34" s="474" t="s">
        <v>268</v>
      </c>
      <c r="B34" s="474"/>
      <c r="C34" s="408"/>
      <c r="D34" s="408"/>
      <c r="E34" s="408"/>
      <c r="F34" s="408"/>
      <c r="G34" s="408"/>
      <c r="H34" s="408"/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  <c r="AA34" s="408"/>
      <c r="AB34" s="408"/>
      <c r="AC34" s="408"/>
      <c r="AD34" s="408"/>
      <c r="AE34" s="408"/>
      <c r="AF34" s="408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407"/>
      <c r="AW34" s="406"/>
      <c r="BV34"/>
      <c r="BW34"/>
    </row>
    <row r="35" spans="1:75">
      <c r="A35" s="404" t="s">
        <v>269</v>
      </c>
      <c r="B35" s="258">
        <f>'Courthouse Financial '!B73+'Courthouse Financial '!B74</f>
        <v>238805288.10121602</v>
      </c>
      <c r="C35" s="412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13"/>
      <c r="AH35" s="413"/>
      <c r="AI35" s="413"/>
      <c r="AJ35" s="415"/>
      <c r="AK35" s="415"/>
      <c r="AL35" s="412"/>
      <c r="AM35" s="412"/>
      <c r="AN35" s="412"/>
      <c r="AO35" s="412"/>
      <c r="AP35" s="412"/>
      <c r="AQ35" s="412"/>
      <c r="AR35" s="412"/>
      <c r="AS35" s="412"/>
      <c r="AT35" s="412"/>
      <c r="AU35" s="414"/>
      <c r="AV35" s="407"/>
      <c r="AW35" s="406"/>
      <c r="BV35"/>
      <c r="BW35"/>
    </row>
    <row r="36" spans="1:75">
      <c r="A36" s="404" t="s">
        <v>270</v>
      </c>
      <c r="B36" s="258">
        <f>SUM(C36:AT36)</f>
        <v>150590146.83536002</v>
      </c>
      <c r="C36" s="387">
        <f t="shared" ref="C36:U36" si="13">-C29</f>
        <v>-59283722.100000001</v>
      </c>
      <c r="D36" s="387">
        <f t="shared" si="13"/>
        <v>0</v>
      </c>
      <c r="E36" s="387">
        <f t="shared" si="13"/>
        <v>0</v>
      </c>
      <c r="F36" s="387">
        <f t="shared" si="13"/>
        <v>-8062706.5532319993</v>
      </c>
      <c r="G36" s="387">
        <f t="shared" si="13"/>
        <v>-8062706.5532319993</v>
      </c>
      <c r="H36" s="387">
        <f t="shared" si="13"/>
        <v>-8062706.5532319993</v>
      </c>
      <c r="I36" s="387">
        <f t="shared" si="13"/>
        <v>-4743299.506159991</v>
      </c>
      <c r="J36" s="387">
        <f t="shared" si="13"/>
        <v>0</v>
      </c>
      <c r="K36" s="387">
        <f t="shared" si="13"/>
        <v>0</v>
      </c>
      <c r="L36" s="387">
        <f t="shared" si="13"/>
        <v>0</v>
      </c>
      <c r="M36" s="387">
        <f t="shared" si="13"/>
        <v>0</v>
      </c>
      <c r="N36" s="387">
        <f t="shared" si="13"/>
        <v>0</v>
      </c>
      <c r="O36" s="387">
        <f t="shared" si="13"/>
        <v>0</v>
      </c>
      <c r="P36" s="387">
        <f t="shared" si="13"/>
        <v>0</v>
      </c>
      <c r="Q36" s="387">
        <f t="shared" si="13"/>
        <v>0</v>
      </c>
      <c r="R36" s="387">
        <f t="shared" si="13"/>
        <v>0</v>
      </c>
      <c r="S36" s="419">
        <f t="shared" si="13"/>
        <v>0</v>
      </c>
      <c r="T36" s="387">
        <f t="shared" si="13"/>
        <v>0</v>
      </c>
      <c r="U36" s="387">
        <f t="shared" si="13"/>
        <v>0</v>
      </c>
      <c r="V36" s="421">
        <f>B35</f>
        <v>238805288.10121602</v>
      </c>
      <c r="W36" s="387"/>
      <c r="X36" s="387"/>
      <c r="Y36" s="387"/>
      <c r="Z36" s="387"/>
      <c r="AA36" s="387"/>
      <c r="AB36" s="387"/>
      <c r="AC36" s="387"/>
      <c r="AD36" s="387"/>
      <c r="AE36" s="387"/>
      <c r="AF36" s="387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414"/>
      <c r="AV36" s="407"/>
      <c r="AW36" s="406"/>
      <c r="BV36"/>
      <c r="BW36"/>
    </row>
    <row r="37" spans="1:75">
      <c r="A37" s="394" t="s">
        <v>271</v>
      </c>
      <c r="B37" s="496">
        <f>IF(B36&lt;0,0,IRR(C36:V36))</f>
        <v>5.7870374471055142E-2</v>
      </c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14"/>
      <c r="AV37" s="407"/>
      <c r="AW37" s="406"/>
      <c r="BV37"/>
      <c r="BW37"/>
    </row>
    <row r="38" spans="1:75">
      <c r="A38" s="394" t="s">
        <v>272</v>
      </c>
      <c r="B38" s="498">
        <f>POWER((1+B37),4)-1</f>
        <v>0.25236182196406753</v>
      </c>
      <c r="C38" s="414"/>
      <c r="D38" s="414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24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423"/>
      <c r="AJ38" s="423"/>
      <c r="AK38" s="423"/>
      <c r="AL38" s="423"/>
      <c r="AM38" s="423"/>
      <c r="AN38" s="423"/>
      <c r="AO38" s="423"/>
      <c r="AP38" s="423"/>
      <c r="AQ38" s="423"/>
      <c r="AR38" s="423"/>
      <c r="AS38" s="423"/>
      <c r="AT38" s="423"/>
      <c r="AU38" s="414"/>
      <c r="AV38" s="407"/>
      <c r="AW38" s="406"/>
      <c r="BV38"/>
      <c r="BW38"/>
    </row>
    <row r="39" spans="1:75">
      <c r="A39" s="474" t="s">
        <v>273</v>
      </c>
      <c r="B39" s="47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  <c r="T39" s="414"/>
      <c r="U39" s="414"/>
      <c r="V39" s="414"/>
      <c r="W39" s="414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414"/>
      <c r="AV39" s="407"/>
      <c r="AW39" s="406"/>
    </row>
    <row r="40" spans="1:75">
      <c r="A40" s="404" t="s">
        <v>274</v>
      </c>
      <c r="B40" s="258">
        <f>'Courthouse Financial '!B73+'Courthouse Financial '!B63</f>
        <v>371128000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08"/>
      <c r="N40" s="414"/>
      <c r="O40" s="414"/>
      <c r="P40" s="414"/>
      <c r="Q40" s="414"/>
      <c r="R40" s="414"/>
      <c r="S40" s="408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07"/>
      <c r="AW40" s="406"/>
    </row>
    <row r="41" spans="1:75">
      <c r="A41" s="394" t="s">
        <v>275</v>
      </c>
      <c r="B41" s="155">
        <f>SUM(C41:AT41)</f>
        <v>150590146.83535999</v>
      </c>
      <c r="C41" s="387">
        <f>-C26</f>
        <v>-59283722.100000001</v>
      </c>
      <c r="D41" s="387">
        <f>-D26</f>
        <v>0</v>
      </c>
      <c r="E41" s="387">
        <f>-E26</f>
        <v>0</v>
      </c>
      <c r="F41" s="387">
        <f t="shared" ref="F41:U41" si="14">-F26</f>
        <v>-8062706.5532319993</v>
      </c>
      <c r="G41" s="387">
        <f t="shared" si="14"/>
        <v>-8062706.5532319993</v>
      </c>
      <c r="H41" s="387">
        <f t="shared" si="14"/>
        <v>-8062706.5532319993</v>
      </c>
      <c r="I41" s="387">
        <f t="shared" si="14"/>
        <v>-8062706.5532319993</v>
      </c>
      <c r="J41" s="387">
        <f t="shared" si="14"/>
        <v>-19350495.727756795</v>
      </c>
      <c r="K41" s="387">
        <f t="shared" si="14"/>
        <v>-19350495.727756795</v>
      </c>
      <c r="L41" s="387">
        <f t="shared" si="14"/>
        <v>-19350495.727756795</v>
      </c>
      <c r="M41" s="387">
        <f t="shared" si="14"/>
        <v>-19350495.727756795</v>
      </c>
      <c r="N41" s="387">
        <f t="shared" si="14"/>
        <v>-19350495.727756795</v>
      </c>
      <c r="O41" s="387">
        <f t="shared" si="14"/>
        <v>-8062706.5532319993</v>
      </c>
      <c r="P41" s="387">
        <f t="shared" si="14"/>
        <v>-8062706.5532319993</v>
      </c>
      <c r="Q41" s="387">
        <f t="shared" si="14"/>
        <v>-8062706.5532319993</v>
      </c>
      <c r="R41" s="387">
        <f t="shared" si="14"/>
        <v>-8062706.5532319993</v>
      </c>
      <c r="S41" s="421">
        <f t="shared" si="14"/>
        <v>0</v>
      </c>
      <c r="T41" s="387">
        <f t="shared" si="14"/>
        <v>0</v>
      </c>
      <c r="U41" s="387">
        <f t="shared" si="14"/>
        <v>0</v>
      </c>
      <c r="V41" s="421">
        <f>-V26+B40</f>
        <v>371128000</v>
      </c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414"/>
      <c r="AV41" s="407"/>
      <c r="AW41" s="406"/>
    </row>
    <row r="42" spans="1:75">
      <c r="A42" s="394" t="s">
        <v>276</v>
      </c>
      <c r="B42" s="496">
        <f>IF(B41&lt;0,0,IRR(C41:V41))</f>
        <v>4.1212702337466878E-2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414"/>
      <c r="AU42" s="414"/>
      <c r="AV42" s="407"/>
      <c r="AW42" s="406"/>
    </row>
    <row r="43" spans="1:75">
      <c r="A43" s="394" t="s">
        <v>277</v>
      </c>
      <c r="B43" s="498">
        <f>POWER((1+B42),4)-1</f>
        <v>0.17532461214038042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414"/>
      <c r="AT43" s="414"/>
      <c r="AU43" s="414"/>
      <c r="AV43" s="407"/>
      <c r="AW43" s="406"/>
    </row>
    <row r="44" spans="1:75">
      <c r="G44" s="21"/>
      <c r="AB44" s="21"/>
      <c r="AE44" s="21"/>
      <c r="AI44" s="21"/>
    </row>
    <row r="45" spans="1:75">
      <c r="G45" s="21"/>
      <c r="AB45" s="21"/>
      <c r="AE45" s="21"/>
      <c r="AI45" s="21"/>
    </row>
    <row r="46" spans="1:75">
      <c r="G46" s="21"/>
      <c r="AB46" s="21"/>
      <c r="AE46" s="21"/>
      <c r="AI46" s="21"/>
    </row>
    <row r="47" spans="1:75">
      <c r="G47" s="21"/>
      <c r="AB47" s="21"/>
      <c r="AE47" s="21"/>
      <c r="AI47" s="21"/>
    </row>
    <row r="48" spans="1:75">
      <c r="G48" s="21"/>
      <c r="AB48" s="21"/>
      <c r="AE48" s="21"/>
      <c r="AI48" s="21"/>
    </row>
    <row r="49" spans="7:35">
      <c r="G49" s="21"/>
      <c r="AB49" s="21"/>
      <c r="AE49" s="21"/>
      <c r="AI49" s="21"/>
    </row>
    <row r="50" spans="7:35">
      <c r="G50" s="21"/>
      <c r="AB50" s="21"/>
      <c r="AE50" s="21"/>
      <c r="AI50" s="21"/>
    </row>
    <row r="51" spans="7:35">
      <c r="G51" s="21"/>
    </row>
    <row r="52" spans="7:35">
      <c r="G52" s="21"/>
    </row>
    <row r="53" spans="7:35">
      <c r="G53" s="21"/>
    </row>
    <row r="54" spans="7:35">
      <c r="G54" s="21"/>
    </row>
    <row r="55" spans="7:35">
      <c r="G55" s="21"/>
    </row>
    <row r="56" spans="7:35">
      <c r="G56" s="21"/>
    </row>
    <row r="57" spans="7:35">
      <c r="G57" s="21"/>
    </row>
    <row r="58" spans="7:35">
      <c r="G58" s="21"/>
    </row>
    <row r="59" spans="7:35">
      <c r="G59" s="21"/>
    </row>
    <row r="60" spans="7:35">
      <c r="G60" s="21"/>
    </row>
    <row r="61" spans="7:35">
      <c r="G61" s="21"/>
    </row>
    <row r="62" spans="7:35">
      <c r="G62" s="21"/>
    </row>
    <row r="63" spans="7:35">
      <c r="G63" s="21"/>
    </row>
    <row r="64" spans="7:35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</sheetData>
  <mergeCells count="2">
    <mergeCell ref="A1:A3"/>
    <mergeCell ref="AU2:AW2"/>
  </mergeCells>
  <phoneticPr fontId="168" type="noConversion"/>
  <conditionalFormatting sqref="D3:AW3">
    <cfRule type="cellIs" dxfId="111" priority="9" operator="equal">
      <formula>#REF!</formula>
    </cfRule>
    <cfRule type="cellIs" dxfId="110" priority="10" operator="equal">
      <formula>#REF!</formula>
    </cfRule>
    <cfRule type="cellIs" dxfId="109" priority="11" operator="equal">
      <formula>#REF!</formula>
    </cfRule>
    <cfRule type="cellIs" dxfId="108" priority="12" operator="equal">
      <formula>#REF!</formula>
    </cfRule>
  </conditionalFormatting>
  <conditionalFormatting sqref="U4:AT4">
    <cfRule type="cellIs" dxfId="107" priority="5" operator="equal">
      <formula>#REF!</formula>
    </cfRule>
    <cfRule type="cellIs" dxfId="106" priority="6" operator="equal">
      <formula>#REF!</formula>
    </cfRule>
    <cfRule type="cellIs" dxfId="105" priority="7" operator="equal">
      <formula>#REF!</formula>
    </cfRule>
    <cfRule type="cellIs" dxfId="104" priority="8" operator="equal">
      <formula>#REF!</formula>
    </cfRule>
  </conditionalFormatting>
  <conditionalFormatting sqref="Y4:AC4">
    <cfRule type="cellIs" dxfId="103" priority="1" operator="equal">
      <formula>#REF!</formula>
    </cfRule>
    <cfRule type="cellIs" dxfId="102" priority="2" operator="equal">
      <formula>#REF!</formula>
    </cfRule>
    <cfRule type="cellIs" dxfId="101" priority="3" operator="equal">
      <formula>#REF!</formula>
    </cfRule>
    <cfRule type="cellIs" dxfId="100" priority="4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F918B-CC37-4827-B7E5-10A61794780E}">
  <sheetPr>
    <tabColor theme="6" tint="-0.249977111117893"/>
    <pageSetUpPr fitToPage="1"/>
  </sheetPr>
  <dimension ref="A1:G93"/>
  <sheetViews>
    <sheetView showGridLines="0" topLeftCell="A67" zoomScaleNormal="100" zoomScaleSheetLayoutView="90" workbookViewId="0">
      <selection activeCell="C50" sqref="C50"/>
    </sheetView>
  </sheetViews>
  <sheetFormatPr defaultColWidth="8.85546875" defaultRowHeight="23.25" customHeight="1"/>
  <cols>
    <col min="1" max="1" width="36.5703125" style="21" bestFit="1" customWidth="1"/>
    <col min="2" max="2" width="24.5703125" style="21" bestFit="1" customWidth="1"/>
    <col min="3" max="3" width="22.42578125" style="21" bestFit="1" customWidth="1"/>
    <col min="4" max="4" width="36.85546875" style="21" customWidth="1"/>
    <col min="5" max="5" width="22.7109375" style="21" customWidth="1"/>
    <col min="6" max="6" width="26.140625" style="21" customWidth="1"/>
    <col min="7" max="7" width="13.140625" style="21" bestFit="1" customWidth="1"/>
    <col min="8" max="8" width="24.5703125" style="21" customWidth="1"/>
    <col min="9" max="9" width="32.42578125" style="21" customWidth="1"/>
    <col min="10" max="10" width="20.140625" style="21" customWidth="1"/>
    <col min="11" max="16384" width="8.85546875" style="21"/>
  </cols>
  <sheetData>
    <row r="1" spans="1:6" ht="23.25" customHeight="1" thickBot="1">
      <c r="A1" s="17"/>
      <c r="B1" s="18"/>
      <c r="C1" s="19"/>
      <c r="D1" s="20"/>
    </row>
    <row r="2" spans="1:6" ht="23.25" customHeight="1" thickBot="1">
      <c r="A2" s="1297" t="s">
        <v>168</v>
      </c>
      <c r="B2" s="1298"/>
      <c r="C2" s="1298"/>
      <c r="D2" s="1260" t="str">
        <f>'Development Program'!B6</f>
        <v>Yesler Hotel</v>
      </c>
      <c r="E2" s="1261"/>
    </row>
    <row r="3" spans="1:6" ht="12.75">
      <c r="A3" s="997"/>
      <c r="B3" s="998"/>
      <c r="C3" s="998"/>
      <c r="D3" s="1000">
        <v>0</v>
      </c>
      <c r="E3" s="1001" t="s">
        <v>313</v>
      </c>
    </row>
    <row r="4" spans="1:6" ht="13.5" thickBot="1">
      <c r="A4" s="888" t="s">
        <v>170</v>
      </c>
      <c r="B4" s="889" t="s">
        <v>171</v>
      </c>
      <c r="C4" s="890" t="s">
        <v>385</v>
      </c>
      <c r="D4" s="999">
        <v>0.8</v>
      </c>
      <c r="E4" s="891" t="s">
        <v>174</v>
      </c>
    </row>
    <row r="5" spans="1:6" ht="12.75">
      <c r="A5" s="995">
        <v>300</v>
      </c>
      <c r="B5" s="285">
        <v>100</v>
      </c>
      <c r="C5" s="713">
        <v>245</v>
      </c>
      <c r="D5" s="713">
        <f>30.5*(B5*C5)*$D$4*(1+$D$3)</f>
        <v>597800</v>
      </c>
      <c r="E5" s="996">
        <f>12*D5</f>
        <v>7173600</v>
      </c>
    </row>
    <row r="6" spans="1:6" ht="12.75">
      <c r="A6" s="534">
        <v>350</v>
      </c>
      <c r="B6" s="280">
        <v>45</v>
      </c>
      <c r="C6" s="533">
        <v>300</v>
      </c>
      <c r="D6" s="533">
        <f>30.5*(B6*C6)*$D$4*(1+$D$3)</f>
        <v>329400</v>
      </c>
      <c r="E6" s="283">
        <f t="shared" ref="E6:E7" si="0">12*D6</f>
        <v>3952800</v>
      </c>
    </row>
    <row r="7" spans="1:6" ht="12.75">
      <c r="A7" s="535">
        <v>400</v>
      </c>
      <c r="B7" s="285">
        <v>40</v>
      </c>
      <c r="C7" s="533">
        <v>400</v>
      </c>
      <c r="D7" s="533">
        <f>30.5*(B7*C7)*$D$4*(1+$D$3)</f>
        <v>390400</v>
      </c>
      <c r="E7" s="283">
        <f t="shared" si="0"/>
        <v>4684800</v>
      </c>
      <c r="F7" s="642"/>
    </row>
    <row r="8" spans="1:6" ht="13.5" thickBot="1">
      <c r="A8" s="284" t="s">
        <v>386</v>
      </c>
      <c r="B8" s="281"/>
      <c r="C8" s="533">
        <f>(C5*B5 + C6*B6 + C7*B7)/B9</f>
        <v>291.89189189189187</v>
      </c>
      <c r="D8" s="286"/>
      <c r="E8" s="1004"/>
    </row>
    <row r="9" spans="1:6" ht="14.25" thickTop="1" thickBot="1">
      <c r="A9" s="27" t="s">
        <v>176</v>
      </c>
      <c r="B9" s="28">
        <f>SUM(B5:B8)</f>
        <v>185</v>
      </c>
      <c r="C9" s="29">
        <f>B5*A5+B6*A6+B7*A7</f>
        <v>61750</v>
      </c>
      <c r="D9" s="1002"/>
      <c r="E9" s="1005">
        <f>SUM(E5:E8)</f>
        <v>15811200</v>
      </c>
      <c r="F9" s="44"/>
    </row>
    <row r="10" spans="1:6" ht="14.25" thickTop="1" thickBot="1">
      <c r="A10" s="31" t="s">
        <v>177</v>
      </c>
      <c r="B10" s="965"/>
      <c r="C10" s="33">
        <f>C9/B9</f>
        <v>333.7837837837838</v>
      </c>
      <c r="D10" s="34"/>
      <c r="E10" s="1003"/>
    </row>
    <row r="11" spans="1:6" ht="12.75">
      <c r="A11" s="36"/>
      <c r="B11" s="37"/>
      <c r="C11" s="38"/>
      <c r="D11" s="39"/>
    </row>
    <row r="12" spans="1:6" ht="12.75">
      <c r="A12" s="24" t="s">
        <v>178</v>
      </c>
      <c r="B12" s="25" t="s">
        <v>179</v>
      </c>
      <c r="C12" s="25" t="s">
        <v>180</v>
      </c>
      <c r="D12" s="25" t="s">
        <v>174</v>
      </c>
    </row>
    <row r="13" spans="1:6" ht="12.75">
      <c r="A13" s="289" t="s">
        <v>314</v>
      </c>
      <c r="B13" s="290">
        <v>27130</v>
      </c>
      <c r="C13" s="868">
        <v>50</v>
      </c>
      <c r="D13" s="291">
        <f>B13*C13</f>
        <v>1356500</v>
      </c>
    </row>
    <row r="14" spans="1:6" ht="13.5" thickBot="1">
      <c r="A14" s="292"/>
      <c r="B14" s="293"/>
      <c r="C14" s="294"/>
      <c r="D14" s="295"/>
    </row>
    <row r="15" spans="1:6" ht="14.25" thickTop="1" thickBot="1">
      <c r="A15" s="40" t="s">
        <v>181</v>
      </c>
      <c r="B15" s="41">
        <f>SUM(B13:B14)</f>
        <v>27130</v>
      </c>
      <c r="C15" s="42">
        <f>IF(B15=0,0,D15/B15)</f>
        <v>50</v>
      </c>
      <c r="D15" s="43">
        <f>SUM(D13:D14)</f>
        <v>1356500</v>
      </c>
      <c r="E15" s="44"/>
      <c r="F15" s="21" t="s">
        <v>380</v>
      </c>
    </row>
    <row r="16" spans="1:6" ht="12.75">
      <c r="A16" s="299" t="s">
        <v>315</v>
      </c>
      <c r="B16" s="297"/>
    </row>
    <row r="17" spans="1:5" ht="12.75">
      <c r="A17" s="256" t="s">
        <v>316</v>
      </c>
      <c r="B17" s="298">
        <v>25</v>
      </c>
      <c r="C17" s="45"/>
      <c r="D17" s="46"/>
    </row>
    <row r="18" spans="1:5" ht="13.5" thickBot="1">
      <c r="A18" s="263"/>
      <c r="B18" s="298"/>
      <c r="C18" s="45"/>
      <c r="D18" s="46"/>
    </row>
    <row r="19" spans="1:5" ht="14.25" thickTop="1" thickBot="1">
      <c r="A19" s="47" t="s">
        <v>185</v>
      </c>
      <c r="B19" s="48">
        <f>SUM(B17:B18)</f>
        <v>25</v>
      </c>
      <c r="C19" s="45"/>
      <c r="D19" s="46"/>
    </row>
    <row r="20" spans="1:5" ht="12.75">
      <c r="A20" s="299" t="s">
        <v>186</v>
      </c>
      <c r="B20" s="300" t="str">
        <f>D2</f>
        <v>Yesler Hotel</v>
      </c>
      <c r="C20" s="49"/>
      <c r="D20" s="49"/>
      <c r="E20" s="49"/>
    </row>
    <row r="21" spans="1:5" ht="12.75">
      <c r="A21" s="301" t="s">
        <v>187</v>
      </c>
      <c r="B21" s="302">
        <f>'Development Program'!D6</f>
        <v>96380</v>
      </c>
      <c r="C21" s="50"/>
      <c r="D21" s="51"/>
      <c r="E21" s="49"/>
    </row>
    <row r="22" spans="1:5" ht="12.75">
      <c r="A22" s="301" t="s">
        <v>317</v>
      </c>
      <c r="B22" s="302">
        <f>C9+B15</f>
        <v>88880</v>
      </c>
      <c r="C22" s="50"/>
      <c r="D22" s="51"/>
      <c r="E22" s="49"/>
    </row>
    <row r="23" spans="1:5" ht="12.75">
      <c r="A23" s="303">
        <v>300</v>
      </c>
      <c r="B23" s="302">
        <f>B19*A23</f>
        <v>7500</v>
      </c>
      <c r="C23" s="50"/>
      <c r="D23" s="51"/>
      <c r="E23" s="49"/>
    </row>
    <row r="24" spans="1:5" ht="12.75">
      <c r="A24" s="304">
        <v>0.2</v>
      </c>
      <c r="B24" s="302">
        <f>(1+A24)*(B22+B23)</f>
        <v>115656</v>
      </c>
      <c r="C24" s="50"/>
      <c r="D24" s="51"/>
      <c r="E24" s="49"/>
    </row>
    <row r="25" spans="1:5" ht="13.5" thickBot="1">
      <c r="A25" s="305">
        <v>10</v>
      </c>
      <c r="B25" s="306">
        <f>B24/A25</f>
        <v>11565.6</v>
      </c>
      <c r="C25" s="50"/>
      <c r="D25" s="51"/>
      <c r="E25" s="49"/>
    </row>
    <row r="26" spans="1:5" ht="15" customHeight="1" thickBot="1">
      <c r="A26" s="1286" t="s">
        <v>189</v>
      </c>
      <c r="B26" s="1287"/>
      <c r="C26" s="1287"/>
      <c r="D26" s="536" t="str">
        <f>D2</f>
        <v>Yesler Hotel</v>
      </c>
      <c r="E26" s="49"/>
    </row>
    <row r="27" spans="1:5" ht="13.5" thickBot="1">
      <c r="A27" s="307" t="s">
        <v>190</v>
      </c>
      <c r="B27" s="1006"/>
      <c r="C27" s="1006"/>
      <c r="D27" s="1007" t="s">
        <v>193</v>
      </c>
      <c r="E27" s="49"/>
    </row>
    <row r="28" spans="1:5" ht="12.75">
      <c r="A28" s="310" t="s">
        <v>475</v>
      </c>
      <c r="B28" s="1008"/>
      <c r="C28" s="1009"/>
      <c r="D28" s="1008">
        <f>E9</f>
        <v>15811200</v>
      </c>
      <c r="E28" s="49"/>
    </row>
    <row r="29" spans="1:5" ht="12.75">
      <c r="A29" s="537" t="str">
        <f>A13</f>
        <v>Retail/Dining/Event</v>
      </c>
      <c r="B29" s="1296"/>
      <c r="C29" s="1296"/>
      <c r="D29" s="331">
        <f>D15</f>
        <v>1356500</v>
      </c>
      <c r="E29" s="49"/>
    </row>
    <row r="30" spans="1:5" ht="12.75">
      <c r="A30" s="314" t="s">
        <v>318</v>
      </c>
      <c r="B30" s="869">
        <v>35</v>
      </c>
      <c r="C30" s="538">
        <v>1</v>
      </c>
      <c r="D30" s="317">
        <f>B30*B17*C30*360</f>
        <v>315000</v>
      </c>
      <c r="E30" s="49"/>
    </row>
    <row r="31" spans="1:5" ht="13.5" thickBot="1">
      <c r="A31" s="196"/>
      <c r="B31" s="1294"/>
      <c r="C31" s="1295"/>
      <c r="D31" s="57"/>
      <c r="E31" s="49"/>
    </row>
    <row r="32" spans="1:5" ht="14.25" thickTop="1" thickBot="1">
      <c r="A32" s="319" t="s">
        <v>203</v>
      </c>
      <c r="B32" s="58">
        <f>D32/B9</f>
        <v>94501.08108108108</v>
      </c>
      <c r="C32" s="320">
        <f>D32/C9</f>
        <v>283.12064777327936</v>
      </c>
      <c r="D32" s="59">
        <f>D28+D29+D30</f>
        <v>17482700</v>
      </c>
      <c r="E32" s="49"/>
    </row>
    <row r="33" spans="1:5" ht="12.75">
      <c r="A33" s="24" t="s">
        <v>204</v>
      </c>
      <c r="B33" s="25"/>
      <c r="C33" s="25"/>
      <c r="D33" s="60" t="s">
        <v>193</v>
      </c>
      <c r="E33" s="49"/>
    </row>
    <row r="34" spans="1:5" ht="13.5" thickBot="1">
      <c r="A34" s="61" t="s">
        <v>206</v>
      </c>
      <c r="B34" s="62"/>
      <c r="C34" s="62"/>
      <c r="D34" s="62">
        <f>-0.65*D32</f>
        <v>-11363755</v>
      </c>
      <c r="E34" s="49"/>
    </row>
    <row r="35" spans="1:5" ht="13.5" thickBot="1">
      <c r="A35" s="321" t="s">
        <v>207</v>
      </c>
      <c r="B35" s="322">
        <f>D35/B9</f>
        <v>33075.37837837838</v>
      </c>
      <c r="C35" s="323"/>
      <c r="D35" s="322">
        <f>D32+D34</f>
        <v>6118945</v>
      </c>
      <c r="E35" s="49"/>
    </row>
    <row r="36" spans="1:5" ht="13.5" thickBot="1">
      <c r="A36" s="324" t="s">
        <v>208</v>
      </c>
      <c r="B36" s="63" t="s">
        <v>209</v>
      </c>
      <c r="C36" s="64">
        <v>7.4999999999999997E-2</v>
      </c>
      <c r="D36" s="325">
        <f>D35/C36</f>
        <v>81585933.333333343</v>
      </c>
      <c r="E36" s="49"/>
    </row>
    <row r="37" spans="1:5" ht="13.5" thickBot="1">
      <c r="A37" s="1266" t="s">
        <v>210</v>
      </c>
      <c r="B37" s="1267"/>
      <c r="C37" s="1267"/>
      <c r="D37" s="1070" t="str">
        <f>D2</f>
        <v>Yesler Hotel</v>
      </c>
    </row>
    <row r="38" spans="1:5" ht="13.5" thickBot="1">
      <c r="A38" s="968"/>
      <c r="B38" s="65" t="s">
        <v>211</v>
      </c>
      <c r="C38" s="65" t="s">
        <v>212</v>
      </c>
      <c r="D38" s="65" t="s">
        <v>191</v>
      </c>
    </row>
    <row r="39" spans="1:5" ht="25.5">
      <c r="A39" s="1191" t="s">
        <v>328</v>
      </c>
      <c r="B39" s="1071">
        <v>325</v>
      </c>
      <c r="C39" s="1010">
        <f>B39*(C9+B15)</f>
        <v>28886000</v>
      </c>
      <c r="D39" s="809">
        <f>C39/$B$9</f>
        <v>156140.54054054053</v>
      </c>
    </row>
    <row r="40" spans="1:5" ht="12.75">
      <c r="A40" s="625" t="s">
        <v>214</v>
      </c>
      <c r="B40" s="1072" t="s">
        <v>476</v>
      </c>
      <c r="C40" s="1011">
        <f>36000*B19</f>
        <v>900000</v>
      </c>
      <c r="D40" s="809">
        <f>C40/$B$9</f>
        <v>4864.864864864865</v>
      </c>
    </row>
    <row r="41" spans="1:5" ht="12.75">
      <c r="A41" s="625" t="s">
        <v>59</v>
      </c>
      <c r="B41" s="796">
        <v>0.1</v>
      </c>
      <c r="C41" s="1011">
        <f>B41*C39</f>
        <v>2888600</v>
      </c>
      <c r="D41" s="809">
        <f>C41/$B$9</f>
        <v>15614.054054054053</v>
      </c>
    </row>
    <row r="42" spans="1:5" ht="12.75">
      <c r="A42" s="625" t="s">
        <v>11</v>
      </c>
      <c r="B42" s="1069">
        <v>4</v>
      </c>
      <c r="C42" s="1011">
        <f>4*C9</f>
        <v>247000</v>
      </c>
      <c r="D42" s="809"/>
    </row>
    <row r="43" spans="1:5" ht="12.75">
      <c r="A43" s="625" t="s">
        <v>215</v>
      </c>
      <c r="B43" s="1069" t="s">
        <v>216</v>
      </c>
      <c r="C43" s="1011">
        <v>10000000</v>
      </c>
      <c r="D43" s="809">
        <f>C43/$B$9</f>
        <v>54054.054054054053</v>
      </c>
    </row>
    <row r="44" spans="1:5" ht="12.75">
      <c r="A44" s="625" t="s">
        <v>62</v>
      </c>
      <c r="B44" s="801">
        <v>1000</v>
      </c>
      <c r="C44" s="1011">
        <f>B9*B44</f>
        <v>185000</v>
      </c>
      <c r="D44" s="810">
        <f>C44/B9</f>
        <v>1000</v>
      </c>
    </row>
    <row r="45" spans="1:5" ht="12.75">
      <c r="A45" s="625" t="s">
        <v>217</v>
      </c>
      <c r="B45" s="801" t="s">
        <v>218</v>
      </c>
      <c r="C45" s="1011">
        <f>'Development Program'!J20</f>
        <v>0</v>
      </c>
      <c r="D45" s="809">
        <f>C45/$B$9</f>
        <v>0</v>
      </c>
    </row>
    <row r="46" spans="1:5" ht="12.75">
      <c r="A46" s="1192" t="s">
        <v>66</v>
      </c>
      <c r="B46" s="801" t="s">
        <v>67</v>
      </c>
      <c r="C46" s="807">
        <v>400000</v>
      </c>
      <c r="D46" s="809">
        <f t="shared" ref="D46:D47" si="1">C46/$B$9</f>
        <v>2162.1621621621621</v>
      </c>
    </row>
    <row r="47" spans="1:5" ht="12.75">
      <c r="A47" s="1192" t="s">
        <v>68</v>
      </c>
      <c r="B47" s="803">
        <v>0.02</v>
      </c>
      <c r="C47" s="807">
        <f>B47*C43</f>
        <v>200000</v>
      </c>
      <c r="D47" s="809">
        <f t="shared" si="1"/>
        <v>1081.081081081081</v>
      </c>
      <c r="E47" s="68"/>
    </row>
    <row r="48" spans="1:5" ht="12.75">
      <c r="A48" s="1192" t="s">
        <v>69</v>
      </c>
      <c r="B48" s="798">
        <v>0.03</v>
      </c>
      <c r="C48" s="807">
        <f>B48*(C39+C41)</f>
        <v>953238</v>
      </c>
      <c r="D48" s="809">
        <f>C48/$B$9</f>
        <v>5152.6378378378377</v>
      </c>
    </row>
    <row r="49" spans="1:7" ht="12.75">
      <c r="A49" s="1192" t="s">
        <v>71</v>
      </c>
      <c r="B49" s="804">
        <v>0.03</v>
      </c>
      <c r="C49" s="807">
        <f>B49*SUM(C39:C48)</f>
        <v>1339795.1399999999</v>
      </c>
      <c r="D49" s="809">
        <f>C49/$B$9</f>
        <v>7242.1358918918913</v>
      </c>
    </row>
    <row r="50" spans="1:7" ht="12.75">
      <c r="A50" s="1192" t="s">
        <v>73</v>
      </c>
      <c r="B50" s="798">
        <v>0.02</v>
      </c>
      <c r="C50" s="807">
        <f>B50*(C39+C41)</f>
        <v>635492</v>
      </c>
      <c r="D50" s="809">
        <f t="shared" ref="D50:D60" si="2">C50/$B$9</f>
        <v>3435.0918918918919</v>
      </c>
    </row>
    <row r="51" spans="1:7" ht="12.75">
      <c r="A51" s="1192" t="s">
        <v>219</v>
      </c>
      <c r="B51" s="798" t="s">
        <v>444</v>
      </c>
      <c r="C51" s="807">
        <f>0.00883*C43</f>
        <v>88300</v>
      </c>
      <c r="D51" s="809">
        <f t="shared" si="2"/>
        <v>477.29729729729729</v>
      </c>
    </row>
    <row r="52" spans="1:7" ht="12.75">
      <c r="A52" s="1192" t="s">
        <v>77</v>
      </c>
      <c r="B52" s="1069">
        <v>2</v>
      </c>
      <c r="C52" s="807">
        <f>B52*B22</f>
        <v>177760</v>
      </c>
      <c r="D52" s="809">
        <f t="shared" si="2"/>
        <v>960.8648648648649</v>
      </c>
    </row>
    <row r="53" spans="1:7" ht="12.75">
      <c r="A53" s="1192" t="s">
        <v>79</v>
      </c>
      <c r="B53" s="1069">
        <v>5</v>
      </c>
      <c r="C53" s="807">
        <f>B53*B22</f>
        <v>444400</v>
      </c>
      <c r="D53" s="809">
        <f t="shared" si="2"/>
        <v>2402.1621621621621</v>
      </c>
    </row>
    <row r="54" spans="1:7" ht="12.75">
      <c r="A54" s="1192" t="s">
        <v>80</v>
      </c>
      <c r="B54" s="799">
        <v>6</v>
      </c>
      <c r="C54" s="807">
        <f>-B54*(D34/12)</f>
        <v>5681877.5</v>
      </c>
      <c r="D54" s="809">
        <f t="shared" si="2"/>
        <v>30712.85135135135</v>
      </c>
    </row>
    <row r="55" spans="1:7" ht="12.75">
      <c r="A55" s="1192" t="s">
        <v>296</v>
      </c>
      <c r="B55" s="799" t="s">
        <v>477</v>
      </c>
      <c r="C55" s="807">
        <f>0.15*C59</f>
        <v>295774.5</v>
      </c>
      <c r="D55" s="809">
        <f t="shared" si="2"/>
        <v>1598.7810810810811</v>
      </c>
      <c r="E55" s="74"/>
    </row>
    <row r="56" spans="1:7" ht="12.75">
      <c r="A56" s="1192" t="s">
        <v>220</v>
      </c>
      <c r="B56" s="1073">
        <v>75</v>
      </c>
      <c r="C56" s="807">
        <f>B15*B56</f>
        <v>2034750</v>
      </c>
      <c r="D56" s="809">
        <f t="shared" si="2"/>
        <v>10998.648648648648</v>
      </c>
    </row>
    <row r="57" spans="1:7" ht="12.75">
      <c r="A57" s="1192" t="s">
        <v>221</v>
      </c>
      <c r="B57" s="805">
        <v>0.06</v>
      </c>
      <c r="C57" s="807">
        <f>B57*D15*5</f>
        <v>406950</v>
      </c>
      <c r="D57" s="809">
        <f t="shared" si="2"/>
        <v>2199.7297297297296</v>
      </c>
    </row>
    <row r="58" spans="1:7" ht="12.75">
      <c r="A58" s="1192" t="s">
        <v>83</v>
      </c>
      <c r="B58" s="806">
        <v>1.4999999999999999E-2</v>
      </c>
      <c r="C58" s="807">
        <v>421470</v>
      </c>
      <c r="D58" s="809">
        <f t="shared" si="2"/>
        <v>2278.2162162162163</v>
      </c>
      <c r="E58" s="1288" t="s">
        <v>222</v>
      </c>
      <c r="F58" s="1289"/>
      <c r="G58" s="70">
        <f>B58*B71</f>
        <v>527443.51967999991</v>
      </c>
    </row>
    <row r="59" spans="1:7" ht="12.95" customHeight="1">
      <c r="A59" s="1193" t="s">
        <v>84</v>
      </c>
      <c r="B59" s="1074">
        <v>7.0000000000000007E-2</v>
      </c>
      <c r="C59" s="807">
        <v>1971830</v>
      </c>
      <c r="D59" s="809">
        <f t="shared" si="2"/>
        <v>10658.54054054054</v>
      </c>
      <c r="E59" s="1288" t="s">
        <v>222</v>
      </c>
      <c r="F59" s="1289"/>
      <c r="G59" s="71">
        <f>B59*B71</f>
        <v>2461403.0918400004</v>
      </c>
    </row>
    <row r="60" spans="1:7" ht="13.5" thickBot="1">
      <c r="A60" s="1195" t="s">
        <v>223</v>
      </c>
      <c r="B60" s="1075">
        <v>0.02</v>
      </c>
      <c r="C60" s="1012">
        <f>C49/3</f>
        <v>446598.37999999995</v>
      </c>
      <c r="D60" s="811">
        <f t="shared" si="2"/>
        <v>2414.0452972972971</v>
      </c>
    </row>
    <row r="61" spans="1:7" ht="14.25" thickTop="1" thickBot="1">
      <c r="A61" s="337" t="s">
        <v>224</v>
      </c>
      <c r="B61" s="338"/>
      <c r="C61" s="808">
        <f>SUM(C39:C60)</f>
        <v>58604835.520000003</v>
      </c>
      <c r="D61" s="808">
        <f>ROUND(C61/$B$9,-3)</f>
        <v>317000</v>
      </c>
    </row>
    <row r="62" spans="1:7" ht="12.75">
      <c r="A62" s="339" t="s">
        <v>225</v>
      </c>
      <c r="B62" s="340">
        <f>D35/C61</f>
        <v>0.10441024099302855</v>
      </c>
    </row>
    <row r="63" spans="1:7" ht="12.75">
      <c r="A63" s="341" t="s">
        <v>226</v>
      </c>
      <c r="B63" s="342">
        <f>(D36/C61)-1</f>
        <v>0.39213654657371411</v>
      </c>
      <c r="C63" s="73"/>
      <c r="D63" s="74"/>
    </row>
    <row r="64" spans="1:7" ht="13.5" thickBot="1">
      <c r="A64" s="343">
        <v>0.2</v>
      </c>
      <c r="B64" s="344">
        <f>(D36/(1+A64))</f>
        <v>67988277.777777791</v>
      </c>
    </row>
    <row r="65" spans="1:5" ht="13.5" thickBot="1">
      <c r="A65" s="1013">
        <v>0.3</v>
      </c>
      <c r="B65" s="985">
        <f>ROUND((D36/(1+A65))-C61,-3)</f>
        <v>4154000</v>
      </c>
      <c r="C65" s="75" t="s">
        <v>227</v>
      </c>
    </row>
    <row r="66" spans="1:5" ht="13.5" thickBot="1">
      <c r="A66" s="76"/>
      <c r="B66" s="77"/>
    </row>
    <row r="67" spans="1:5" ht="15" customHeight="1" thickBot="1">
      <c r="A67" s="1290" t="s">
        <v>228</v>
      </c>
      <c r="B67" s="1291"/>
      <c r="C67" s="1017" t="str">
        <f>D2</f>
        <v>Yesler Hotel</v>
      </c>
    </row>
    <row r="68" spans="1:5" ht="12.75">
      <c r="A68" s="1016"/>
      <c r="B68" s="1014" t="s">
        <v>229</v>
      </c>
      <c r="C68" s="1015" t="s">
        <v>191</v>
      </c>
    </row>
    <row r="69" spans="1:5" ht="12.75">
      <c r="A69" s="1018" t="s">
        <v>230</v>
      </c>
      <c r="B69" s="288">
        <f>IF(B65&lt;0,B65,0)</f>
        <v>0</v>
      </c>
      <c r="C69" s="860">
        <f>B69/B9</f>
        <v>0</v>
      </c>
    </row>
    <row r="70" spans="1:5" ht="12.75">
      <c r="A70" s="1018" t="s">
        <v>231</v>
      </c>
      <c r="B70" s="288">
        <f>C61+B69</f>
        <v>58604835.520000003</v>
      </c>
      <c r="C70" s="860">
        <f>B70/B9</f>
        <v>316782.8947027027</v>
      </c>
    </row>
    <row r="71" spans="1:5" ht="12.75">
      <c r="A71" s="1019">
        <f>Assumptions!K16</f>
        <v>0.6</v>
      </c>
      <c r="B71" s="317">
        <f>A71*C$61</f>
        <v>35162901.311999999</v>
      </c>
      <c r="C71" s="1020">
        <f>B71/B9</f>
        <v>190069.73682162163</v>
      </c>
    </row>
    <row r="72" spans="1:5" ht="13.5" thickBot="1">
      <c r="A72" s="351">
        <f>1-A71</f>
        <v>0.4</v>
      </c>
      <c r="B72" s="336">
        <f>A72*C$61</f>
        <v>23441934.208000004</v>
      </c>
      <c r="C72" s="708">
        <f>B72/B9</f>
        <v>126713.1578810811</v>
      </c>
      <c r="D72" s="74"/>
    </row>
    <row r="73" spans="1:5" ht="14.25" thickTop="1" thickBot="1">
      <c r="A73" s="1021" t="s">
        <v>232</v>
      </c>
      <c r="B73" s="1022">
        <f>B71+B72</f>
        <v>58604835.520000003</v>
      </c>
      <c r="C73" s="1023">
        <f>ROUND((C72+C71),-3)</f>
        <v>317000</v>
      </c>
    </row>
    <row r="74" spans="1:5" ht="13.5" thickBot="1">
      <c r="A74" s="354"/>
      <c r="B74" s="212"/>
      <c r="C74" s="355"/>
    </row>
    <row r="75" spans="1:5" ht="15" customHeight="1" thickBot="1">
      <c r="A75" s="1292" t="s">
        <v>233</v>
      </c>
      <c r="B75" s="1293"/>
      <c r="C75" s="346" t="str">
        <f>D2</f>
        <v>Yesler Hotel</v>
      </c>
    </row>
    <row r="76" spans="1:5" ht="13.5" thickBot="1">
      <c r="A76" s="83"/>
      <c r="B76" s="356" t="s">
        <v>234</v>
      </c>
      <c r="C76" s="356"/>
    </row>
    <row r="77" spans="1:5" ht="12.75">
      <c r="A77" s="357" t="s">
        <v>235</v>
      </c>
      <c r="B77" s="358">
        <f>ROUND(D36,-2)</f>
        <v>81585900</v>
      </c>
      <c r="C77" s="359"/>
    </row>
    <row r="78" spans="1:5" ht="13.5" thickBot="1">
      <c r="A78" s="360">
        <v>0.02</v>
      </c>
      <c r="B78" s="361">
        <f>(-ROUND(A78*B77,-2))</f>
        <v>-1631700</v>
      </c>
      <c r="C78" s="362"/>
    </row>
    <row r="79" spans="1:5" ht="14.25" thickTop="1" thickBot="1">
      <c r="A79" s="363" t="s">
        <v>236</v>
      </c>
      <c r="B79" s="236">
        <f>B77+B78</f>
        <v>79954200</v>
      </c>
      <c r="C79" s="84"/>
      <c r="E79" s="85"/>
    </row>
    <row r="80" spans="1:5" ht="12.75">
      <c r="A80" s="357" t="s">
        <v>237</v>
      </c>
      <c r="B80" s="358">
        <f>-B71</f>
        <v>-35162901.311999999</v>
      </c>
      <c r="C80" s="359"/>
    </row>
    <row r="81" spans="1:4" ht="13.5" thickBot="1">
      <c r="A81" s="364" t="s">
        <v>238</v>
      </c>
      <c r="B81" s="365">
        <f>-B72</f>
        <v>-23441934.208000004</v>
      </c>
      <c r="C81" s="362"/>
    </row>
    <row r="82" spans="1:4" ht="14.25" thickTop="1" thickBot="1">
      <c r="A82" s="135" t="s">
        <v>239</v>
      </c>
      <c r="B82" s="237">
        <f>ROUND(B79+B80+B81,-2)</f>
        <v>21349400</v>
      </c>
      <c r="C82" s="86"/>
      <c r="D82" s="87"/>
    </row>
    <row r="83" spans="1:4" ht="13.5" thickBot="1">
      <c r="A83" s="1277" t="s">
        <v>240</v>
      </c>
      <c r="B83" s="1278"/>
      <c r="C83" s="1279"/>
    </row>
    <row r="84" spans="1:4" ht="12.75">
      <c r="A84" s="366" t="s">
        <v>241</v>
      </c>
      <c r="B84" s="367">
        <f>ROUND((B77)/B$9,-2)</f>
        <v>441000</v>
      </c>
      <c r="C84" s="367"/>
    </row>
    <row r="85" spans="1:4" ht="13.5" thickBot="1">
      <c r="A85" s="368" t="s">
        <v>242</v>
      </c>
      <c r="B85" s="369">
        <f>ROUND((B79)/B$9,-2)</f>
        <v>432200</v>
      </c>
      <c r="C85" s="369"/>
    </row>
    <row r="86" spans="1:4" ht="12.75">
      <c r="A86" s="1280" t="s">
        <v>243</v>
      </c>
      <c r="B86" s="1281"/>
      <c r="C86" s="1282"/>
    </row>
    <row r="87" spans="1:4" ht="13.5" thickBot="1">
      <c r="A87" s="354"/>
      <c r="B87" s="88"/>
      <c r="C87" s="88"/>
    </row>
    <row r="88" spans="1:4" ht="12.75">
      <c r="A88" s="89"/>
      <c r="B88" s="356" t="s">
        <v>234</v>
      </c>
      <c r="C88" s="356"/>
    </row>
    <row r="89" spans="1:4" ht="12.75">
      <c r="A89" s="370" t="s">
        <v>244</v>
      </c>
      <c r="B89" s="371">
        <f>(B82+B72)/B72</f>
        <v>1.9107354286795206</v>
      </c>
      <c r="C89" s="371"/>
    </row>
    <row r="90" spans="1:4" ht="12.75">
      <c r="A90" s="372" t="s">
        <v>245</v>
      </c>
      <c r="B90" s="1024">
        <f>'Yesler DRAW'!B38</f>
        <v>0.18778587530545598</v>
      </c>
      <c r="C90" s="165"/>
      <c r="D90" s="90"/>
    </row>
    <row r="91" spans="1:4" ht="12.75">
      <c r="A91" s="372" t="s">
        <v>246</v>
      </c>
      <c r="B91" s="1024">
        <f>'Yesler DRAW'!B43</f>
        <v>0.13074896600986685</v>
      </c>
      <c r="C91" s="165"/>
      <c r="D91" s="90"/>
    </row>
    <row r="92" spans="1:4" ht="12.75">
      <c r="A92" s="370" t="s">
        <v>247</v>
      </c>
      <c r="B92" s="373">
        <f>D35/B71</f>
        <v>0.17401706832171426</v>
      </c>
      <c r="C92" s="373"/>
    </row>
    <row r="93" spans="1:4" ht="12.75">
      <c r="A93" s="370" t="s">
        <v>248</v>
      </c>
      <c r="B93" s="374">
        <f>C36</f>
        <v>7.4999999999999997E-2</v>
      </c>
      <c r="C93" s="374"/>
    </row>
  </sheetData>
  <mergeCells count="12">
    <mergeCell ref="D2:E2"/>
    <mergeCell ref="A26:C26"/>
    <mergeCell ref="A86:C86"/>
    <mergeCell ref="E58:F58"/>
    <mergeCell ref="E59:F59"/>
    <mergeCell ref="A83:C83"/>
    <mergeCell ref="A37:C37"/>
    <mergeCell ref="A67:B67"/>
    <mergeCell ref="A75:B75"/>
    <mergeCell ref="B31:C31"/>
    <mergeCell ref="B29:C29"/>
    <mergeCell ref="A2:C2"/>
  </mergeCells>
  <printOptions horizontalCentered="1" verticalCentered="1"/>
  <pageMargins left="0.7" right="0.7" top="0.75" bottom="0.75" header="0.3" footer="0.3"/>
  <pageSetup scale="88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25" max="4" man="1"/>
    <brk id="61" max="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E05EC-5A48-41C4-A471-C1D76CE51EB8}">
  <sheetPr>
    <tabColor rgb="FF0070C0"/>
  </sheetPr>
  <dimension ref="A1:AT600"/>
  <sheetViews>
    <sheetView zoomScaleNormal="100" zoomScalePageLayoutView="125" workbookViewId="0">
      <pane xSplit="1" ySplit="3" topLeftCell="B6" activePane="bottomRight" state="frozen"/>
      <selection activeCell="G28" sqref="G28"/>
      <selection pane="topRight" activeCell="G28" sqref="G28"/>
      <selection pane="bottomLeft" activeCell="G28" sqref="G28"/>
      <selection pane="bottomRight" activeCell="C36" sqref="C36"/>
    </sheetView>
  </sheetViews>
  <sheetFormatPr defaultColWidth="8.85546875" defaultRowHeight="12.75"/>
  <cols>
    <col min="1" max="1" width="45.5703125" style="21" customWidth="1"/>
    <col min="2" max="2" width="21.42578125" style="21" customWidth="1"/>
    <col min="3" max="3" width="17.140625" style="21" customWidth="1"/>
    <col min="4" max="4" width="15" style="21" customWidth="1"/>
    <col min="5" max="5" width="17.140625" style="21" bestFit="1" customWidth="1"/>
    <col min="6" max="6" width="16" style="21" customWidth="1"/>
    <col min="7" max="7" width="14.42578125" style="139" customWidth="1"/>
    <col min="8" max="8" width="19" style="21" customWidth="1"/>
    <col min="9" max="9" width="18.5703125" style="21" customWidth="1"/>
    <col min="10" max="10" width="16.42578125" style="21" customWidth="1"/>
    <col min="11" max="11" width="15" style="21" customWidth="1"/>
    <col min="12" max="12" width="14.140625" style="21" customWidth="1"/>
    <col min="13" max="13" width="14.42578125" style="21" customWidth="1"/>
    <col min="14" max="14" width="15.42578125" style="21" customWidth="1"/>
    <col min="15" max="15" width="16.140625" style="21" customWidth="1"/>
    <col min="16" max="16" width="15.42578125" style="21" customWidth="1"/>
    <col min="17" max="17" width="13.85546875" style="21" customWidth="1"/>
    <col min="18" max="19" width="14" style="21" customWidth="1"/>
    <col min="20" max="20" width="16" style="21" customWidth="1"/>
    <col min="21" max="21" width="14.42578125" style="21" customWidth="1"/>
    <col min="22" max="31" width="14.42578125" style="21" hidden="1" customWidth="1"/>
    <col min="32" max="32" width="16.42578125" style="21" hidden="1" customWidth="1"/>
    <col min="33" max="38" width="14.42578125" style="21" hidden="1" customWidth="1"/>
    <col min="39" max="39" width="12.5703125" style="21" hidden="1" customWidth="1"/>
    <col min="40" max="40" width="17" style="21" hidden="1" customWidth="1"/>
    <col min="41" max="41" width="16.42578125" style="21" hidden="1" customWidth="1"/>
    <col min="42" max="42" width="13.42578125" style="21" hidden="1" customWidth="1"/>
    <col min="43" max="43" width="15" style="21" hidden="1" customWidth="1"/>
    <col min="44" max="44" width="20.42578125" style="21" customWidth="1"/>
    <col min="45" max="46" width="17" style="21" customWidth="1"/>
    <col min="47" max="47" width="9.5703125" style="21" bestFit="1" customWidth="1"/>
    <col min="48" max="48" width="11.85546875" style="21" bestFit="1" customWidth="1"/>
    <col min="49" max="50" width="9.5703125" style="21" bestFit="1" customWidth="1"/>
    <col min="51" max="16384" width="8.85546875" style="21"/>
  </cols>
  <sheetData>
    <row r="1" spans="1:46" ht="13.5" thickBot="1">
      <c r="A1" s="1299" t="str">
        <f>'Development Program'!B25</f>
        <v>Yesler Hotel</v>
      </c>
      <c r="B1" s="213" t="s">
        <v>249</v>
      </c>
      <c r="C1" s="201" t="str">
        <f>'Development Program'!D23</f>
        <v>Pre-Development</v>
      </c>
      <c r="D1" s="201" t="str">
        <f>'Development Program'!E23</f>
        <v>Demolition</v>
      </c>
      <c r="E1" s="201" t="str">
        <f>'Development Program'!F23</f>
        <v>Construction</v>
      </c>
      <c r="F1" s="201" t="str">
        <f>'Development Program'!G23</f>
        <v>Close-out</v>
      </c>
      <c r="G1" s="74"/>
    </row>
    <row r="2" spans="1:46" ht="13.5" thickBot="1">
      <c r="A2" s="1283"/>
      <c r="B2" s="375" t="s">
        <v>250</v>
      </c>
      <c r="C2" s="376" t="str">
        <f>'Development Program'!D25</f>
        <v>01/1/25 to 12/31/25</v>
      </c>
      <c r="D2" s="376" t="str">
        <f>'Development Program'!E25</f>
        <v>None</v>
      </c>
      <c r="E2" s="376" t="str">
        <f>'Development Program'!F25</f>
        <v>1/1/26 to 12/31/28</v>
      </c>
      <c r="F2" s="376" t="str">
        <f>'Development Program'!G25</f>
        <v>1/1/29 to 6/30/29</v>
      </c>
      <c r="G2" s="214" t="s">
        <v>251</v>
      </c>
      <c r="H2" s="214" t="s">
        <v>252</v>
      </c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4" t="s">
        <v>253</v>
      </c>
      <c r="T2" s="215" t="s">
        <v>254</v>
      </c>
      <c r="U2" s="215" t="s">
        <v>255</v>
      </c>
      <c r="AK2" s="242"/>
      <c r="AL2" s="242"/>
      <c r="AR2" s="1285" t="s">
        <v>256</v>
      </c>
      <c r="AS2" s="1285"/>
      <c r="AT2" s="1285"/>
    </row>
    <row r="3" spans="1:46" ht="13.5" thickBot="1">
      <c r="A3" s="1284"/>
      <c r="B3" s="142" t="s">
        <v>122</v>
      </c>
      <c r="C3" s="203">
        <v>45658</v>
      </c>
      <c r="D3" s="204">
        <f>EOMONTH(C3,3)</f>
        <v>45777</v>
      </c>
      <c r="E3" s="204">
        <f t="shared" ref="E3:AG3" si="0">EOMONTH(D3,3)</f>
        <v>45869</v>
      </c>
      <c r="F3" s="204">
        <f t="shared" si="0"/>
        <v>45961</v>
      </c>
      <c r="G3" s="204">
        <f t="shared" si="0"/>
        <v>46053</v>
      </c>
      <c r="H3" s="204">
        <f t="shared" si="0"/>
        <v>46142</v>
      </c>
      <c r="I3" s="204">
        <f t="shared" si="0"/>
        <v>46234</v>
      </c>
      <c r="J3" s="204">
        <f t="shared" si="0"/>
        <v>46326</v>
      </c>
      <c r="K3" s="204">
        <f t="shared" si="0"/>
        <v>46418</v>
      </c>
      <c r="L3" s="204">
        <f t="shared" si="0"/>
        <v>46507</v>
      </c>
      <c r="M3" s="204">
        <f t="shared" si="0"/>
        <v>46599</v>
      </c>
      <c r="N3" s="204">
        <f t="shared" si="0"/>
        <v>46691</v>
      </c>
      <c r="O3" s="204">
        <f t="shared" si="0"/>
        <v>46783</v>
      </c>
      <c r="P3" s="204">
        <f t="shared" si="0"/>
        <v>46873</v>
      </c>
      <c r="Q3" s="204">
        <f t="shared" si="0"/>
        <v>46965</v>
      </c>
      <c r="R3" s="204">
        <f t="shared" si="0"/>
        <v>47057</v>
      </c>
      <c r="S3" s="204">
        <f t="shared" si="0"/>
        <v>47149</v>
      </c>
      <c r="T3" s="204">
        <f t="shared" si="0"/>
        <v>47238</v>
      </c>
      <c r="U3" s="204">
        <f t="shared" si="0"/>
        <v>47330</v>
      </c>
      <c r="V3" s="204" t="e">
        <f>EOMONTH(#REF!,3)</f>
        <v>#REF!</v>
      </c>
      <c r="W3" s="204" t="e">
        <f t="shared" si="0"/>
        <v>#REF!</v>
      </c>
      <c r="X3" s="204" t="e">
        <f t="shared" si="0"/>
        <v>#REF!</v>
      </c>
      <c r="Y3" s="204" t="e">
        <f t="shared" si="0"/>
        <v>#REF!</v>
      </c>
      <c r="Z3" s="204" t="e">
        <f t="shared" si="0"/>
        <v>#REF!</v>
      </c>
      <c r="AA3" s="204" t="e">
        <f t="shared" si="0"/>
        <v>#REF!</v>
      </c>
      <c r="AB3" s="204" t="e">
        <f t="shared" si="0"/>
        <v>#REF!</v>
      </c>
      <c r="AC3" s="204" t="e">
        <f t="shared" si="0"/>
        <v>#REF!</v>
      </c>
      <c r="AD3" s="246" t="e">
        <f t="shared" si="0"/>
        <v>#REF!</v>
      </c>
      <c r="AE3" s="246" t="e">
        <f t="shared" si="0"/>
        <v>#REF!</v>
      </c>
      <c r="AF3" s="246" t="e">
        <f t="shared" si="0"/>
        <v>#REF!</v>
      </c>
      <c r="AG3" s="246" t="e">
        <f t="shared" si="0"/>
        <v>#REF!</v>
      </c>
      <c r="AH3" s="246" t="e">
        <f>EOMONTH(AG3,3)</f>
        <v>#REF!</v>
      </c>
      <c r="AI3" s="246" t="e">
        <f t="shared" ref="AI3:AQ3" si="1">EOMONTH(AH3,3)</f>
        <v>#REF!</v>
      </c>
      <c r="AJ3" s="246" t="e">
        <f t="shared" si="1"/>
        <v>#REF!</v>
      </c>
      <c r="AK3" s="246" t="e">
        <f t="shared" si="1"/>
        <v>#REF!</v>
      </c>
      <c r="AL3" s="246" t="e">
        <f t="shared" si="1"/>
        <v>#REF!</v>
      </c>
      <c r="AM3" s="246" t="e">
        <f t="shared" si="1"/>
        <v>#REF!</v>
      </c>
      <c r="AN3" s="246" t="e">
        <f t="shared" si="1"/>
        <v>#REF!</v>
      </c>
      <c r="AO3" s="246" t="e">
        <f>EOMONTH(AN3,3)</f>
        <v>#REF!</v>
      </c>
      <c r="AP3" s="246" t="e">
        <f t="shared" si="1"/>
        <v>#REF!</v>
      </c>
      <c r="AQ3" s="246" t="e">
        <f t="shared" si="1"/>
        <v>#REF!</v>
      </c>
      <c r="AR3" s="378" t="s">
        <v>257</v>
      </c>
      <c r="AS3" s="379" t="s">
        <v>258</v>
      </c>
      <c r="AT3" s="378"/>
    </row>
    <row r="4" spans="1:46" ht="13.5" thickBot="1">
      <c r="A4" s="380" t="s">
        <v>259</v>
      </c>
      <c r="B4" s="381">
        <v>1</v>
      </c>
      <c r="C4" s="239">
        <v>0</v>
      </c>
      <c r="D4" s="239">
        <v>0</v>
      </c>
      <c r="E4" s="239">
        <v>0</v>
      </c>
      <c r="F4" s="239">
        <f t="shared" ref="F4" si="2">E4</f>
        <v>0</v>
      </c>
      <c r="G4" s="238">
        <v>0.05</v>
      </c>
      <c r="H4" s="239">
        <v>0.05</v>
      </c>
      <c r="I4" s="239">
        <v>0.05</v>
      </c>
      <c r="J4" s="239">
        <v>0.05</v>
      </c>
      <c r="K4" s="239">
        <v>0.12</v>
      </c>
      <c r="L4" s="239">
        <v>0.12</v>
      </c>
      <c r="M4" s="239">
        <v>0.12</v>
      </c>
      <c r="N4" s="239">
        <v>0.12</v>
      </c>
      <c r="O4" s="239">
        <v>0.1</v>
      </c>
      <c r="P4" s="239">
        <v>7.0000000000000007E-2</v>
      </c>
      <c r="Q4" s="239">
        <v>0.05</v>
      </c>
      <c r="R4" s="239">
        <v>0.05</v>
      </c>
      <c r="S4" s="239">
        <v>0.05</v>
      </c>
      <c r="T4" s="239">
        <v>0</v>
      </c>
      <c r="U4" s="239">
        <v>0</v>
      </c>
      <c r="V4" s="239">
        <v>0</v>
      </c>
      <c r="W4" s="239">
        <v>0</v>
      </c>
      <c r="X4" s="239">
        <v>0</v>
      </c>
      <c r="Y4" s="239">
        <v>0</v>
      </c>
      <c r="Z4" s="239">
        <v>0</v>
      </c>
      <c r="AA4" s="239">
        <v>0</v>
      </c>
      <c r="AB4" s="239">
        <v>0</v>
      </c>
      <c r="AC4" s="239">
        <v>0</v>
      </c>
      <c r="AD4" s="239">
        <v>0</v>
      </c>
      <c r="AE4" s="239">
        <v>0</v>
      </c>
      <c r="AF4" s="239">
        <v>0</v>
      </c>
      <c r="AG4" s="239">
        <v>0</v>
      </c>
      <c r="AH4" s="239">
        <v>0</v>
      </c>
      <c r="AI4" s="238">
        <v>0</v>
      </c>
      <c r="AJ4" s="238">
        <v>0</v>
      </c>
      <c r="AK4" s="211"/>
      <c r="AL4" s="211"/>
      <c r="AM4" s="539"/>
      <c r="AN4" s="539"/>
      <c r="AO4" s="539"/>
      <c r="AP4" s="539"/>
      <c r="AQ4" s="539"/>
      <c r="AR4" s="382">
        <f t="shared" ref="AR4:AR25" si="3">SUM(C4:AQ4)</f>
        <v>1.0000000000000002</v>
      </c>
      <c r="AS4" s="383"/>
      <c r="AT4" s="216" t="s">
        <v>260</v>
      </c>
    </row>
    <row r="5" spans="1:46">
      <c r="A5" s="384" t="str">
        <f>'Yesler Financial'!A39</f>
        <v>Hard Costs for Construction/Refurbishment</v>
      </c>
      <c r="B5" s="385">
        <f>'Yesler Financial'!C39</f>
        <v>28886000</v>
      </c>
      <c r="C5" s="386">
        <f>$B5*C$4</f>
        <v>0</v>
      </c>
      <c r="D5" s="386">
        <f t="shared" ref="D5:U17" si="4">$B5*D$4</f>
        <v>0</v>
      </c>
      <c r="E5" s="386">
        <f t="shared" si="4"/>
        <v>0</v>
      </c>
      <c r="F5" s="386">
        <f t="shared" si="4"/>
        <v>0</v>
      </c>
      <c r="G5" s="386">
        <f t="shared" si="4"/>
        <v>1444300</v>
      </c>
      <c r="H5" s="386">
        <f t="shared" si="4"/>
        <v>1444300</v>
      </c>
      <c r="I5" s="386">
        <f t="shared" si="4"/>
        <v>1444300</v>
      </c>
      <c r="J5" s="386">
        <f t="shared" si="4"/>
        <v>1444300</v>
      </c>
      <c r="K5" s="386">
        <f t="shared" si="4"/>
        <v>3466320</v>
      </c>
      <c r="L5" s="386">
        <f t="shared" si="4"/>
        <v>3466320</v>
      </c>
      <c r="M5" s="386">
        <f t="shared" si="4"/>
        <v>3466320</v>
      </c>
      <c r="N5" s="386">
        <f t="shared" si="4"/>
        <v>3466320</v>
      </c>
      <c r="O5" s="386">
        <f t="shared" si="4"/>
        <v>2888600</v>
      </c>
      <c r="P5" s="386">
        <f t="shared" si="4"/>
        <v>2022020.0000000002</v>
      </c>
      <c r="Q5" s="386">
        <f t="shared" si="4"/>
        <v>1444300</v>
      </c>
      <c r="R5" s="386">
        <f t="shared" si="4"/>
        <v>1444300</v>
      </c>
      <c r="S5" s="386">
        <f t="shared" si="4"/>
        <v>1444300</v>
      </c>
      <c r="T5" s="386">
        <f t="shared" si="4"/>
        <v>0</v>
      </c>
      <c r="U5" s="386">
        <f t="shared" si="4"/>
        <v>0</v>
      </c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7"/>
      <c r="AL5" s="387"/>
      <c r="AM5" s="387"/>
      <c r="AN5" s="387"/>
      <c r="AO5" s="387"/>
      <c r="AP5" s="387"/>
      <c r="AQ5" s="387"/>
      <c r="AR5" s="387">
        <f t="shared" si="3"/>
        <v>28886000</v>
      </c>
      <c r="AS5" s="387">
        <f t="shared" ref="AS5:AS25" si="5">B5</f>
        <v>28886000</v>
      </c>
      <c r="AT5" s="387">
        <f>AS5-AR5</f>
        <v>0</v>
      </c>
    </row>
    <row r="6" spans="1:46">
      <c r="A6" s="384" t="str">
        <f>'Yesler Financial'!A40</f>
        <v>Parking stalls</v>
      </c>
      <c r="B6" s="385">
        <f>'Yesler Financial'!C40</f>
        <v>900000</v>
      </c>
      <c r="C6" s="386">
        <f t="shared" ref="C6:R25" si="6">$B6*C$4</f>
        <v>0</v>
      </c>
      <c r="D6" s="386">
        <f t="shared" si="4"/>
        <v>0</v>
      </c>
      <c r="E6" s="386">
        <f t="shared" si="4"/>
        <v>0</v>
      </c>
      <c r="F6" s="386">
        <f t="shared" si="4"/>
        <v>0</v>
      </c>
      <c r="G6" s="386">
        <f t="shared" si="4"/>
        <v>45000</v>
      </c>
      <c r="H6" s="386">
        <f t="shared" si="4"/>
        <v>45000</v>
      </c>
      <c r="I6" s="386">
        <f t="shared" si="4"/>
        <v>45000</v>
      </c>
      <c r="J6" s="386">
        <f t="shared" si="4"/>
        <v>45000</v>
      </c>
      <c r="K6" s="386">
        <f t="shared" si="4"/>
        <v>108000</v>
      </c>
      <c r="L6" s="386">
        <f t="shared" si="4"/>
        <v>108000</v>
      </c>
      <c r="M6" s="386">
        <f t="shared" si="4"/>
        <v>108000</v>
      </c>
      <c r="N6" s="386">
        <f t="shared" si="4"/>
        <v>108000</v>
      </c>
      <c r="O6" s="386">
        <f t="shared" si="4"/>
        <v>90000</v>
      </c>
      <c r="P6" s="386">
        <f t="shared" si="4"/>
        <v>63000.000000000007</v>
      </c>
      <c r="Q6" s="386">
        <f t="shared" si="4"/>
        <v>45000</v>
      </c>
      <c r="R6" s="386">
        <f t="shared" si="4"/>
        <v>45000</v>
      </c>
      <c r="S6" s="386">
        <f t="shared" si="4"/>
        <v>45000</v>
      </c>
      <c r="T6" s="386">
        <f t="shared" si="4"/>
        <v>0</v>
      </c>
      <c r="U6" s="386">
        <f t="shared" si="4"/>
        <v>0</v>
      </c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7"/>
      <c r="AL6" s="387"/>
      <c r="AM6" s="387"/>
      <c r="AN6" s="387"/>
      <c r="AO6" s="387"/>
      <c r="AP6" s="387"/>
      <c r="AQ6" s="387"/>
      <c r="AR6" s="387">
        <f t="shared" si="3"/>
        <v>900000</v>
      </c>
      <c r="AS6" s="387">
        <f t="shared" si="5"/>
        <v>900000</v>
      </c>
      <c r="AT6" s="387">
        <f t="shared" ref="AT6:AT25" si="7">AS6-AR6</f>
        <v>0</v>
      </c>
    </row>
    <row r="7" spans="1:46">
      <c r="A7" s="384" t="str">
        <f>'Yesler Financial'!A41</f>
        <v>Hard Cost Contingency</v>
      </c>
      <c r="B7" s="385">
        <f>'Yesler Financial'!C41</f>
        <v>2888600</v>
      </c>
      <c r="C7" s="386">
        <f t="shared" si="6"/>
        <v>0</v>
      </c>
      <c r="D7" s="386">
        <f t="shared" si="4"/>
        <v>0</v>
      </c>
      <c r="E7" s="386">
        <f t="shared" si="4"/>
        <v>0</v>
      </c>
      <c r="F7" s="386">
        <f t="shared" si="4"/>
        <v>0</v>
      </c>
      <c r="G7" s="386">
        <f t="shared" si="4"/>
        <v>144430</v>
      </c>
      <c r="H7" s="386">
        <f t="shared" si="4"/>
        <v>144430</v>
      </c>
      <c r="I7" s="386">
        <f t="shared" si="4"/>
        <v>144430</v>
      </c>
      <c r="J7" s="386">
        <f t="shared" si="4"/>
        <v>144430</v>
      </c>
      <c r="K7" s="386">
        <f t="shared" si="4"/>
        <v>346632</v>
      </c>
      <c r="L7" s="386">
        <f t="shared" si="4"/>
        <v>346632</v>
      </c>
      <c r="M7" s="386">
        <f t="shared" si="4"/>
        <v>346632</v>
      </c>
      <c r="N7" s="386">
        <f t="shared" si="4"/>
        <v>346632</v>
      </c>
      <c r="O7" s="386">
        <f t="shared" si="4"/>
        <v>288860</v>
      </c>
      <c r="P7" s="386">
        <f t="shared" si="4"/>
        <v>202202.00000000003</v>
      </c>
      <c r="Q7" s="386">
        <f t="shared" si="4"/>
        <v>144430</v>
      </c>
      <c r="R7" s="386">
        <f t="shared" si="4"/>
        <v>144430</v>
      </c>
      <c r="S7" s="386">
        <f t="shared" si="4"/>
        <v>144430</v>
      </c>
      <c r="T7" s="386">
        <f t="shared" si="4"/>
        <v>0</v>
      </c>
      <c r="U7" s="386">
        <f t="shared" si="4"/>
        <v>0</v>
      </c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7"/>
      <c r="AL7" s="387"/>
      <c r="AM7" s="387"/>
      <c r="AN7" s="387"/>
      <c r="AO7" s="387"/>
      <c r="AP7" s="387"/>
      <c r="AQ7" s="387"/>
      <c r="AR7" s="387">
        <f t="shared" si="3"/>
        <v>2888600</v>
      </c>
      <c r="AS7" s="387">
        <f t="shared" si="5"/>
        <v>2888600</v>
      </c>
      <c r="AT7" s="387">
        <f t="shared" si="7"/>
        <v>0</v>
      </c>
    </row>
    <row r="8" spans="1:46">
      <c r="A8" s="384" t="str">
        <f>'Yesler Financial'!A42</f>
        <v>Demolition</v>
      </c>
      <c r="B8" s="385">
        <f>'Yesler Financial'!C42</f>
        <v>247000</v>
      </c>
      <c r="C8" s="386">
        <f t="shared" si="6"/>
        <v>0</v>
      </c>
      <c r="D8" s="386">
        <f t="shared" si="4"/>
        <v>0</v>
      </c>
      <c r="E8" s="386">
        <f t="shared" si="4"/>
        <v>0</v>
      </c>
      <c r="F8" s="386">
        <f t="shared" si="4"/>
        <v>0</v>
      </c>
      <c r="G8" s="386">
        <f t="shared" si="4"/>
        <v>12350</v>
      </c>
      <c r="H8" s="386">
        <f t="shared" si="4"/>
        <v>12350</v>
      </c>
      <c r="I8" s="386">
        <f t="shared" si="4"/>
        <v>12350</v>
      </c>
      <c r="J8" s="386">
        <f t="shared" si="4"/>
        <v>12350</v>
      </c>
      <c r="K8" s="386">
        <f t="shared" si="4"/>
        <v>29640</v>
      </c>
      <c r="L8" s="386">
        <f t="shared" si="4"/>
        <v>29640</v>
      </c>
      <c r="M8" s="386">
        <f t="shared" si="4"/>
        <v>29640</v>
      </c>
      <c r="N8" s="386">
        <f t="shared" si="4"/>
        <v>29640</v>
      </c>
      <c r="O8" s="386">
        <f t="shared" si="4"/>
        <v>24700</v>
      </c>
      <c r="P8" s="386">
        <f t="shared" si="4"/>
        <v>17290</v>
      </c>
      <c r="Q8" s="386">
        <f t="shared" si="4"/>
        <v>12350</v>
      </c>
      <c r="R8" s="386">
        <f t="shared" si="4"/>
        <v>12350</v>
      </c>
      <c r="S8" s="386">
        <f t="shared" si="4"/>
        <v>12350</v>
      </c>
      <c r="T8" s="386">
        <f t="shared" si="4"/>
        <v>0</v>
      </c>
      <c r="U8" s="386">
        <f t="shared" si="4"/>
        <v>0</v>
      </c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7"/>
      <c r="AL8" s="387"/>
      <c r="AM8" s="387"/>
      <c r="AN8" s="387"/>
      <c r="AO8" s="387"/>
      <c r="AP8" s="387"/>
      <c r="AQ8" s="387"/>
      <c r="AR8" s="387">
        <f t="shared" si="3"/>
        <v>247000</v>
      </c>
      <c r="AS8" s="387">
        <f t="shared" si="5"/>
        <v>247000</v>
      </c>
      <c r="AT8" s="387">
        <f t="shared" si="7"/>
        <v>0</v>
      </c>
    </row>
    <row r="9" spans="1:46">
      <c r="A9" s="384" t="str">
        <f>'Yesler Financial'!A43</f>
        <v>LAND</v>
      </c>
      <c r="B9" s="385">
        <f>'Yesler Financial'!C43</f>
        <v>10000000</v>
      </c>
      <c r="C9" s="386">
        <f>B9</f>
        <v>10000000</v>
      </c>
      <c r="D9" s="386">
        <v>0</v>
      </c>
      <c r="E9" s="386">
        <v>0</v>
      </c>
      <c r="F9" s="386">
        <v>0</v>
      </c>
      <c r="G9" s="386">
        <v>0</v>
      </c>
      <c r="H9" s="386">
        <v>0</v>
      </c>
      <c r="I9" s="386">
        <v>0</v>
      </c>
      <c r="J9" s="386">
        <v>0</v>
      </c>
      <c r="K9" s="386">
        <v>0</v>
      </c>
      <c r="L9" s="386">
        <v>0</v>
      </c>
      <c r="M9" s="386">
        <v>0</v>
      </c>
      <c r="N9" s="386">
        <v>0</v>
      </c>
      <c r="O9" s="386">
        <v>0</v>
      </c>
      <c r="P9" s="386">
        <v>0</v>
      </c>
      <c r="Q9" s="386">
        <v>0</v>
      </c>
      <c r="R9" s="386">
        <v>0</v>
      </c>
      <c r="S9" s="386">
        <v>0</v>
      </c>
      <c r="T9" s="386">
        <v>0</v>
      </c>
      <c r="U9" s="386">
        <v>0</v>
      </c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92"/>
      <c r="AL9" s="392"/>
      <c r="AM9" s="392"/>
      <c r="AN9" s="392"/>
      <c r="AO9" s="392"/>
      <c r="AP9" s="392"/>
      <c r="AQ9" s="392"/>
      <c r="AR9" s="387">
        <f t="shared" si="3"/>
        <v>10000000</v>
      </c>
      <c r="AS9" s="387">
        <f t="shared" si="5"/>
        <v>10000000</v>
      </c>
      <c r="AT9" s="387">
        <f t="shared" si="7"/>
        <v>0</v>
      </c>
    </row>
    <row r="10" spans="1:46">
      <c r="A10" s="384" t="str">
        <f>'Yesler Financial'!A44</f>
        <v>Municipal Fees and Allowances</v>
      </c>
      <c r="B10" s="385">
        <f>'Yesler Financial'!C44</f>
        <v>185000</v>
      </c>
      <c r="C10" s="386">
        <f>B10</f>
        <v>185000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v>0</v>
      </c>
      <c r="R10" s="386">
        <v>0</v>
      </c>
      <c r="S10" s="386">
        <v>0</v>
      </c>
      <c r="T10" s="386">
        <v>0</v>
      </c>
      <c r="U10" s="386">
        <v>0</v>
      </c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  <c r="AF10" s="388"/>
      <c r="AG10" s="388"/>
      <c r="AH10" s="388"/>
      <c r="AI10" s="388"/>
      <c r="AJ10" s="388"/>
      <c r="AK10" s="392"/>
      <c r="AL10" s="392"/>
      <c r="AM10" s="392"/>
      <c r="AN10" s="392"/>
      <c r="AO10" s="392"/>
      <c r="AP10" s="392"/>
      <c r="AQ10" s="392"/>
      <c r="AR10" s="387">
        <f t="shared" si="3"/>
        <v>185000</v>
      </c>
      <c r="AS10" s="387">
        <f t="shared" si="5"/>
        <v>185000</v>
      </c>
      <c r="AT10" s="387">
        <f t="shared" si="7"/>
        <v>0</v>
      </c>
    </row>
    <row r="11" spans="1:46">
      <c r="A11" s="384" t="str">
        <f>'Yesler Financial'!A45</f>
        <v>Infrastructure allocation</v>
      </c>
      <c r="B11" s="385">
        <f>'Yesler Financial'!C45</f>
        <v>0</v>
      </c>
      <c r="C11" s="386">
        <f>B11</f>
        <v>0</v>
      </c>
      <c r="D11" s="386">
        <f t="shared" si="4"/>
        <v>0</v>
      </c>
      <c r="E11" s="386">
        <f t="shared" si="4"/>
        <v>0</v>
      </c>
      <c r="F11" s="386">
        <f t="shared" si="4"/>
        <v>0</v>
      </c>
      <c r="G11" s="386">
        <f t="shared" si="4"/>
        <v>0</v>
      </c>
      <c r="H11" s="386">
        <f t="shared" si="4"/>
        <v>0</v>
      </c>
      <c r="I11" s="386">
        <f t="shared" si="4"/>
        <v>0</v>
      </c>
      <c r="J11" s="386">
        <f t="shared" si="4"/>
        <v>0</v>
      </c>
      <c r="K11" s="386">
        <f t="shared" si="4"/>
        <v>0</v>
      </c>
      <c r="L11" s="386">
        <f t="shared" si="4"/>
        <v>0</v>
      </c>
      <c r="M11" s="386">
        <f t="shared" si="4"/>
        <v>0</v>
      </c>
      <c r="N11" s="386">
        <f t="shared" si="4"/>
        <v>0</v>
      </c>
      <c r="O11" s="386">
        <f t="shared" si="4"/>
        <v>0</v>
      </c>
      <c r="P11" s="386">
        <f t="shared" si="4"/>
        <v>0</v>
      </c>
      <c r="Q11" s="386">
        <f t="shared" si="4"/>
        <v>0</v>
      </c>
      <c r="R11" s="386">
        <f t="shared" si="4"/>
        <v>0</v>
      </c>
      <c r="S11" s="386">
        <f t="shared" si="4"/>
        <v>0</v>
      </c>
      <c r="T11" s="386">
        <f t="shared" si="4"/>
        <v>0</v>
      </c>
      <c r="U11" s="386">
        <f t="shared" si="4"/>
        <v>0</v>
      </c>
      <c r="V11" s="389"/>
      <c r="W11" s="389"/>
      <c r="X11" s="389"/>
      <c r="Y11" s="389"/>
      <c r="Z11" s="389"/>
      <c r="AA11" s="389"/>
      <c r="AB11" s="389"/>
      <c r="AC11" s="389"/>
      <c r="AD11" s="389"/>
      <c r="AE11" s="389"/>
      <c r="AF11" s="389"/>
      <c r="AG11" s="389"/>
      <c r="AH11" s="389"/>
      <c r="AI11" s="389"/>
      <c r="AJ11" s="389"/>
      <c r="AK11" s="394"/>
      <c r="AL11" s="394"/>
      <c r="AM11" s="392"/>
      <c r="AN11" s="392"/>
      <c r="AO11" s="392"/>
      <c r="AP11" s="392"/>
      <c r="AQ11" s="392"/>
      <c r="AR11" s="387">
        <f t="shared" si="3"/>
        <v>0</v>
      </c>
      <c r="AS11" s="387">
        <f t="shared" si="5"/>
        <v>0</v>
      </c>
      <c r="AT11" s="387">
        <f t="shared" si="7"/>
        <v>0</v>
      </c>
    </row>
    <row r="12" spans="1:46">
      <c r="A12" s="384" t="str">
        <f>'Yesler Financial'!A46</f>
        <v>Legal</v>
      </c>
      <c r="B12" s="385">
        <f>'Yesler Financial'!C46</f>
        <v>400000</v>
      </c>
      <c r="C12" s="386">
        <f t="shared" si="6"/>
        <v>0</v>
      </c>
      <c r="D12" s="386">
        <f t="shared" si="4"/>
        <v>0</v>
      </c>
      <c r="E12" s="386">
        <f t="shared" si="4"/>
        <v>0</v>
      </c>
      <c r="F12" s="386">
        <f t="shared" si="4"/>
        <v>0</v>
      </c>
      <c r="G12" s="386">
        <f t="shared" si="4"/>
        <v>20000</v>
      </c>
      <c r="H12" s="386">
        <f t="shared" si="4"/>
        <v>20000</v>
      </c>
      <c r="I12" s="386">
        <f t="shared" si="4"/>
        <v>20000</v>
      </c>
      <c r="J12" s="386">
        <f t="shared" si="4"/>
        <v>20000</v>
      </c>
      <c r="K12" s="386">
        <f t="shared" si="4"/>
        <v>48000</v>
      </c>
      <c r="L12" s="386">
        <f t="shared" si="4"/>
        <v>48000</v>
      </c>
      <c r="M12" s="386">
        <f t="shared" si="4"/>
        <v>48000</v>
      </c>
      <c r="N12" s="386">
        <f t="shared" si="4"/>
        <v>48000</v>
      </c>
      <c r="O12" s="386">
        <f t="shared" si="4"/>
        <v>40000</v>
      </c>
      <c r="P12" s="386">
        <f t="shared" si="4"/>
        <v>28000.000000000004</v>
      </c>
      <c r="Q12" s="386">
        <f t="shared" si="4"/>
        <v>20000</v>
      </c>
      <c r="R12" s="386">
        <f t="shared" si="4"/>
        <v>20000</v>
      </c>
      <c r="S12" s="386">
        <f t="shared" si="4"/>
        <v>20000</v>
      </c>
      <c r="T12" s="386">
        <f t="shared" si="4"/>
        <v>0</v>
      </c>
      <c r="U12" s="386">
        <f t="shared" si="4"/>
        <v>0</v>
      </c>
      <c r="V12" s="386"/>
      <c r="W12" s="386"/>
      <c r="X12" s="388"/>
      <c r="Y12" s="388"/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92"/>
      <c r="AL12" s="392"/>
      <c r="AM12" s="392"/>
      <c r="AN12" s="392"/>
      <c r="AO12" s="392"/>
      <c r="AP12" s="392"/>
      <c r="AQ12" s="392"/>
      <c r="AR12" s="387">
        <f t="shared" si="3"/>
        <v>400000</v>
      </c>
      <c r="AS12" s="387">
        <f t="shared" si="5"/>
        <v>400000</v>
      </c>
      <c r="AT12" s="387">
        <f t="shared" si="7"/>
        <v>0</v>
      </c>
    </row>
    <row r="13" spans="1:46">
      <c r="A13" s="384" t="str">
        <f>'Yesler Financial'!A47</f>
        <v>Land Closing Costs/commissions</v>
      </c>
      <c r="B13" s="385">
        <f>'Yesler Financial'!C47</f>
        <v>200000</v>
      </c>
      <c r="C13" s="386">
        <f>B13</f>
        <v>200000</v>
      </c>
      <c r="D13" s="386">
        <v>0</v>
      </c>
      <c r="E13" s="386">
        <v>0</v>
      </c>
      <c r="F13" s="386">
        <v>0</v>
      </c>
      <c r="G13" s="386">
        <v>0</v>
      </c>
      <c r="H13" s="386">
        <v>0</v>
      </c>
      <c r="I13" s="386">
        <v>0</v>
      </c>
      <c r="J13" s="386">
        <v>0</v>
      </c>
      <c r="K13" s="386">
        <v>0</v>
      </c>
      <c r="L13" s="386">
        <v>0</v>
      </c>
      <c r="M13" s="386">
        <v>0</v>
      </c>
      <c r="N13" s="386">
        <v>0</v>
      </c>
      <c r="O13" s="386">
        <v>0</v>
      </c>
      <c r="P13" s="386">
        <v>0</v>
      </c>
      <c r="Q13" s="386">
        <v>0</v>
      </c>
      <c r="R13" s="386">
        <v>0</v>
      </c>
      <c r="S13" s="386">
        <v>0</v>
      </c>
      <c r="T13" s="386">
        <v>0</v>
      </c>
      <c r="U13" s="386">
        <v>0</v>
      </c>
      <c r="V13" s="386"/>
      <c r="W13" s="386"/>
      <c r="X13" s="386"/>
      <c r="Y13" s="386"/>
      <c r="Z13" s="386"/>
      <c r="AA13" s="386"/>
      <c r="AB13" s="386"/>
      <c r="AC13" s="386"/>
      <c r="AD13" s="386"/>
      <c r="AE13" s="386"/>
      <c r="AF13" s="386"/>
      <c r="AG13" s="386"/>
      <c r="AH13" s="386"/>
      <c r="AI13" s="386"/>
      <c r="AJ13" s="386"/>
      <c r="AK13" s="387"/>
      <c r="AL13" s="387"/>
      <c r="AM13" s="387"/>
      <c r="AN13" s="387"/>
      <c r="AO13" s="387"/>
      <c r="AP13" s="387"/>
      <c r="AQ13" s="387"/>
      <c r="AR13" s="387">
        <f t="shared" si="3"/>
        <v>200000</v>
      </c>
      <c r="AS13" s="387">
        <f t="shared" si="5"/>
        <v>200000</v>
      </c>
      <c r="AT13" s="387">
        <f t="shared" si="7"/>
        <v>0</v>
      </c>
    </row>
    <row r="14" spans="1:46">
      <c r="A14" s="384" t="str">
        <f>'Yesler Financial'!A48</f>
        <v xml:space="preserve">Design </v>
      </c>
      <c r="B14" s="385">
        <f>'Yesler Financial'!C48</f>
        <v>953238</v>
      </c>
      <c r="C14" s="386">
        <f t="shared" si="6"/>
        <v>0</v>
      </c>
      <c r="D14" s="386">
        <f t="shared" si="4"/>
        <v>0</v>
      </c>
      <c r="E14" s="386">
        <f t="shared" si="4"/>
        <v>0</v>
      </c>
      <c r="F14" s="386">
        <f t="shared" si="4"/>
        <v>0</v>
      </c>
      <c r="G14" s="386">
        <f t="shared" si="4"/>
        <v>47661.9</v>
      </c>
      <c r="H14" s="386">
        <f t="shared" si="4"/>
        <v>47661.9</v>
      </c>
      <c r="I14" s="386">
        <f t="shared" si="4"/>
        <v>47661.9</v>
      </c>
      <c r="J14" s="386">
        <f t="shared" si="4"/>
        <v>47661.9</v>
      </c>
      <c r="K14" s="386">
        <f t="shared" si="4"/>
        <v>114388.56</v>
      </c>
      <c r="L14" s="386">
        <f t="shared" si="4"/>
        <v>114388.56</v>
      </c>
      <c r="M14" s="386">
        <f t="shared" si="4"/>
        <v>114388.56</v>
      </c>
      <c r="N14" s="386">
        <f t="shared" si="4"/>
        <v>114388.56</v>
      </c>
      <c r="O14" s="386">
        <f t="shared" si="4"/>
        <v>95323.8</v>
      </c>
      <c r="P14" s="386">
        <f t="shared" si="4"/>
        <v>66726.66</v>
      </c>
      <c r="Q14" s="386">
        <f t="shared" si="4"/>
        <v>47661.9</v>
      </c>
      <c r="R14" s="386">
        <f t="shared" si="4"/>
        <v>47661.9</v>
      </c>
      <c r="S14" s="386">
        <f t="shared" si="4"/>
        <v>47661.9</v>
      </c>
      <c r="T14" s="386">
        <f t="shared" si="4"/>
        <v>0</v>
      </c>
      <c r="U14" s="386">
        <f t="shared" si="4"/>
        <v>0</v>
      </c>
      <c r="V14" s="386"/>
      <c r="W14" s="386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7"/>
      <c r="AL14" s="387"/>
      <c r="AM14" s="387"/>
      <c r="AN14" s="387"/>
      <c r="AO14" s="387"/>
      <c r="AP14" s="387"/>
      <c r="AQ14" s="387"/>
      <c r="AR14" s="387">
        <f t="shared" si="3"/>
        <v>953238.00000000023</v>
      </c>
      <c r="AS14" s="387">
        <f t="shared" si="5"/>
        <v>953238</v>
      </c>
      <c r="AT14" s="387">
        <f t="shared" si="7"/>
        <v>0</v>
      </c>
    </row>
    <row r="15" spans="1:46">
      <c r="A15" s="384" t="str">
        <f>'Yesler Financial'!A49</f>
        <v>Developer Fee</v>
      </c>
      <c r="B15" s="385">
        <f>'Yesler Financial'!C49</f>
        <v>1339795.1399999999</v>
      </c>
      <c r="C15" s="386">
        <f t="shared" si="6"/>
        <v>0</v>
      </c>
      <c r="D15" s="386">
        <f t="shared" si="4"/>
        <v>0</v>
      </c>
      <c r="E15" s="386">
        <f t="shared" si="4"/>
        <v>0</v>
      </c>
      <c r="F15" s="386">
        <f t="shared" si="4"/>
        <v>0</v>
      </c>
      <c r="G15" s="386">
        <f t="shared" si="4"/>
        <v>66989.756999999998</v>
      </c>
      <c r="H15" s="386">
        <f t="shared" si="4"/>
        <v>66989.756999999998</v>
      </c>
      <c r="I15" s="386">
        <f t="shared" si="4"/>
        <v>66989.756999999998</v>
      </c>
      <c r="J15" s="386">
        <f t="shared" si="4"/>
        <v>66989.756999999998</v>
      </c>
      <c r="K15" s="386">
        <f t="shared" si="4"/>
        <v>160775.41679999998</v>
      </c>
      <c r="L15" s="386">
        <f t="shared" si="4"/>
        <v>160775.41679999998</v>
      </c>
      <c r="M15" s="386">
        <f t="shared" si="4"/>
        <v>160775.41679999998</v>
      </c>
      <c r="N15" s="386">
        <f t="shared" si="4"/>
        <v>160775.41679999998</v>
      </c>
      <c r="O15" s="386">
        <f t="shared" si="4"/>
        <v>133979.514</v>
      </c>
      <c r="P15" s="386">
        <f t="shared" si="4"/>
        <v>93785.659800000009</v>
      </c>
      <c r="Q15" s="386">
        <f t="shared" si="4"/>
        <v>66989.756999999998</v>
      </c>
      <c r="R15" s="386">
        <f t="shared" si="4"/>
        <v>66989.756999999998</v>
      </c>
      <c r="S15" s="386">
        <f t="shared" si="4"/>
        <v>66989.756999999998</v>
      </c>
      <c r="T15" s="386">
        <f t="shared" si="4"/>
        <v>0</v>
      </c>
      <c r="U15" s="386">
        <f t="shared" si="4"/>
        <v>0</v>
      </c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7"/>
      <c r="AL15" s="387"/>
      <c r="AM15" s="387"/>
      <c r="AN15" s="387"/>
      <c r="AO15" s="387"/>
      <c r="AP15" s="387"/>
      <c r="AQ15" s="387"/>
      <c r="AR15" s="387">
        <f t="shared" si="3"/>
        <v>1339795.1399999999</v>
      </c>
      <c r="AS15" s="387">
        <f t="shared" si="5"/>
        <v>1339795.1399999999</v>
      </c>
      <c r="AT15" s="387">
        <f t="shared" si="7"/>
        <v>0</v>
      </c>
    </row>
    <row r="16" spans="1:46">
      <c r="A16" s="384" t="str">
        <f>'Yesler Financial'!A50</f>
        <v>Construction Management Fee</v>
      </c>
      <c r="B16" s="385">
        <f>'Yesler Financial'!C50</f>
        <v>635492</v>
      </c>
      <c r="C16" s="386">
        <f t="shared" si="6"/>
        <v>0</v>
      </c>
      <c r="D16" s="386">
        <f t="shared" si="4"/>
        <v>0</v>
      </c>
      <c r="E16" s="386">
        <f t="shared" si="4"/>
        <v>0</v>
      </c>
      <c r="F16" s="386">
        <f t="shared" si="4"/>
        <v>0</v>
      </c>
      <c r="G16" s="386">
        <f t="shared" si="4"/>
        <v>31774.600000000002</v>
      </c>
      <c r="H16" s="386">
        <f t="shared" si="4"/>
        <v>31774.600000000002</v>
      </c>
      <c r="I16" s="386">
        <f t="shared" si="4"/>
        <v>31774.600000000002</v>
      </c>
      <c r="J16" s="386">
        <f t="shared" si="4"/>
        <v>31774.600000000002</v>
      </c>
      <c r="K16" s="386">
        <f t="shared" si="4"/>
        <v>76259.039999999994</v>
      </c>
      <c r="L16" s="386">
        <f t="shared" si="4"/>
        <v>76259.039999999994</v>
      </c>
      <c r="M16" s="386">
        <f t="shared" si="4"/>
        <v>76259.039999999994</v>
      </c>
      <c r="N16" s="386">
        <f t="shared" si="4"/>
        <v>76259.039999999994</v>
      </c>
      <c r="O16" s="386">
        <f t="shared" si="4"/>
        <v>63549.200000000004</v>
      </c>
      <c r="P16" s="386">
        <f t="shared" si="4"/>
        <v>44484.44</v>
      </c>
      <c r="Q16" s="386">
        <f t="shared" si="4"/>
        <v>31774.600000000002</v>
      </c>
      <c r="R16" s="386">
        <f t="shared" si="4"/>
        <v>31774.600000000002</v>
      </c>
      <c r="S16" s="386">
        <f t="shared" si="4"/>
        <v>31774.600000000002</v>
      </c>
      <c r="T16" s="386">
        <f t="shared" si="4"/>
        <v>0</v>
      </c>
      <c r="U16" s="386">
        <f t="shared" si="4"/>
        <v>0</v>
      </c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7"/>
      <c r="AL16" s="387"/>
      <c r="AM16" s="387"/>
      <c r="AN16" s="387"/>
      <c r="AO16" s="387"/>
      <c r="AP16" s="387"/>
      <c r="AQ16" s="387"/>
      <c r="AR16" s="387">
        <f t="shared" si="3"/>
        <v>635491.99999999988</v>
      </c>
      <c r="AS16" s="387">
        <f t="shared" si="5"/>
        <v>635492</v>
      </c>
      <c r="AT16" s="387">
        <f t="shared" si="7"/>
        <v>0</v>
      </c>
    </row>
    <row r="17" spans="1:46">
      <c r="A17" s="384" t="str">
        <f>'Yesler Financial'!A51</f>
        <v>Taxes</v>
      </c>
      <c r="B17" s="385">
        <f>'Yesler Financial'!C51</f>
        <v>88300</v>
      </c>
      <c r="C17" s="386">
        <f t="shared" si="6"/>
        <v>0</v>
      </c>
      <c r="D17" s="386">
        <f t="shared" si="4"/>
        <v>0</v>
      </c>
      <c r="E17" s="386">
        <f t="shared" si="4"/>
        <v>0</v>
      </c>
      <c r="F17" s="386">
        <f t="shared" si="4"/>
        <v>0</v>
      </c>
      <c r="G17" s="386">
        <f t="shared" ref="G17:U25" si="8">$B17*G$4</f>
        <v>4415</v>
      </c>
      <c r="H17" s="386">
        <f t="shared" si="8"/>
        <v>4415</v>
      </c>
      <c r="I17" s="386">
        <f t="shared" si="8"/>
        <v>4415</v>
      </c>
      <c r="J17" s="386">
        <f t="shared" si="8"/>
        <v>4415</v>
      </c>
      <c r="K17" s="386">
        <f t="shared" si="8"/>
        <v>10596</v>
      </c>
      <c r="L17" s="386">
        <f t="shared" si="8"/>
        <v>10596</v>
      </c>
      <c r="M17" s="386">
        <f t="shared" si="8"/>
        <v>10596</v>
      </c>
      <c r="N17" s="386">
        <f t="shared" si="8"/>
        <v>10596</v>
      </c>
      <c r="O17" s="386">
        <f t="shared" si="8"/>
        <v>8830</v>
      </c>
      <c r="P17" s="386">
        <f t="shared" si="8"/>
        <v>6181.0000000000009</v>
      </c>
      <c r="Q17" s="386">
        <f t="shared" si="8"/>
        <v>4415</v>
      </c>
      <c r="R17" s="386">
        <f t="shared" si="8"/>
        <v>4415</v>
      </c>
      <c r="S17" s="386">
        <f t="shared" si="8"/>
        <v>4415</v>
      </c>
      <c r="T17" s="386">
        <f t="shared" si="8"/>
        <v>0</v>
      </c>
      <c r="U17" s="386">
        <f t="shared" si="8"/>
        <v>0</v>
      </c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386"/>
      <c r="AK17" s="387"/>
      <c r="AL17" s="387"/>
      <c r="AM17" s="387"/>
      <c r="AN17" s="387"/>
      <c r="AP17" s="387"/>
      <c r="AQ17" s="387"/>
      <c r="AR17" s="387">
        <f t="shared" si="3"/>
        <v>88300</v>
      </c>
      <c r="AS17" s="387">
        <f t="shared" si="5"/>
        <v>88300</v>
      </c>
      <c r="AT17" s="387">
        <f t="shared" si="7"/>
        <v>0</v>
      </c>
    </row>
    <row r="18" spans="1:46">
      <c r="A18" s="384" t="str">
        <f>'Yesler Financial'!A52</f>
        <v>Insurance</v>
      </c>
      <c r="B18" s="385">
        <f>'Yesler Financial'!C52</f>
        <v>177760</v>
      </c>
      <c r="C18" s="386">
        <f t="shared" si="6"/>
        <v>0</v>
      </c>
      <c r="D18" s="386">
        <f t="shared" si="6"/>
        <v>0</v>
      </c>
      <c r="E18" s="386">
        <f t="shared" si="6"/>
        <v>0</v>
      </c>
      <c r="F18" s="386">
        <f t="shared" si="6"/>
        <v>0</v>
      </c>
      <c r="G18" s="386">
        <f t="shared" si="6"/>
        <v>8888</v>
      </c>
      <c r="H18" s="386">
        <f t="shared" si="6"/>
        <v>8888</v>
      </c>
      <c r="I18" s="386">
        <f t="shared" si="6"/>
        <v>8888</v>
      </c>
      <c r="J18" s="386">
        <f t="shared" si="6"/>
        <v>8888</v>
      </c>
      <c r="K18" s="386">
        <f t="shared" si="6"/>
        <v>21331.200000000001</v>
      </c>
      <c r="L18" s="386">
        <f t="shared" si="6"/>
        <v>21331.200000000001</v>
      </c>
      <c r="M18" s="386">
        <f t="shared" si="6"/>
        <v>21331.200000000001</v>
      </c>
      <c r="N18" s="386">
        <f t="shared" si="6"/>
        <v>21331.200000000001</v>
      </c>
      <c r="O18" s="386">
        <f t="shared" si="6"/>
        <v>17776</v>
      </c>
      <c r="P18" s="386">
        <f t="shared" si="6"/>
        <v>12443.2</v>
      </c>
      <c r="Q18" s="386">
        <f t="shared" si="6"/>
        <v>8888</v>
      </c>
      <c r="R18" s="386">
        <f t="shared" si="6"/>
        <v>8888</v>
      </c>
      <c r="S18" s="386">
        <f t="shared" si="8"/>
        <v>8888</v>
      </c>
      <c r="T18" s="386">
        <f t="shared" si="8"/>
        <v>0</v>
      </c>
      <c r="U18" s="386">
        <f t="shared" si="8"/>
        <v>0</v>
      </c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7"/>
      <c r="AL18" s="387"/>
      <c r="AM18" s="387"/>
      <c r="AN18" s="387"/>
      <c r="AO18" s="387"/>
      <c r="AP18" s="387"/>
      <c r="AQ18" s="387"/>
      <c r="AR18" s="387">
        <f t="shared" si="3"/>
        <v>177760</v>
      </c>
      <c r="AS18" s="387">
        <f t="shared" si="5"/>
        <v>177760</v>
      </c>
      <c r="AT18" s="387">
        <f t="shared" si="7"/>
        <v>0</v>
      </c>
    </row>
    <row r="19" spans="1:46">
      <c r="A19" s="384" t="str">
        <f>'Yesler Financial'!A53</f>
        <v>Marketing, FFE and Preleasing</v>
      </c>
      <c r="B19" s="385">
        <f>'Yesler Financial'!C53</f>
        <v>444400</v>
      </c>
      <c r="C19" s="386">
        <f t="shared" si="6"/>
        <v>0</v>
      </c>
      <c r="D19" s="386">
        <f t="shared" si="6"/>
        <v>0</v>
      </c>
      <c r="E19" s="386">
        <f t="shared" si="6"/>
        <v>0</v>
      </c>
      <c r="F19" s="386">
        <f t="shared" si="6"/>
        <v>0</v>
      </c>
      <c r="G19" s="386">
        <f t="shared" si="6"/>
        <v>22220</v>
      </c>
      <c r="H19" s="386">
        <f t="shared" si="6"/>
        <v>22220</v>
      </c>
      <c r="I19" s="386">
        <f t="shared" si="6"/>
        <v>22220</v>
      </c>
      <c r="J19" s="386">
        <f t="shared" si="6"/>
        <v>22220</v>
      </c>
      <c r="K19" s="386">
        <f t="shared" si="6"/>
        <v>53328</v>
      </c>
      <c r="L19" s="386">
        <f t="shared" si="6"/>
        <v>53328</v>
      </c>
      <c r="M19" s="386">
        <f t="shared" si="6"/>
        <v>53328</v>
      </c>
      <c r="N19" s="386">
        <f t="shared" si="6"/>
        <v>53328</v>
      </c>
      <c r="O19" s="386">
        <f t="shared" si="6"/>
        <v>44440</v>
      </c>
      <c r="P19" s="386">
        <f t="shared" si="6"/>
        <v>31108.000000000004</v>
      </c>
      <c r="Q19" s="386">
        <f t="shared" si="6"/>
        <v>22220</v>
      </c>
      <c r="R19" s="386">
        <f t="shared" si="6"/>
        <v>22220</v>
      </c>
      <c r="S19" s="386">
        <f t="shared" si="8"/>
        <v>22220</v>
      </c>
      <c r="T19" s="386">
        <f t="shared" si="8"/>
        <v>0</v>
      </c>
      <c r="U19" s="386">
        <f t="shared" si="8"/>
        <v>0</v>
      </c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7"/>
      <c r="AL19" s="387"/>
      <c r="AM19" s="387"/>
      <c r="AN19" s="387"/>
      <c r="AO19" s="258"/>
      <c r="AP19" s="258"/>
      <c r="AQ19" s="258"/>
      <c r="AR19" s="387">
        <f t="shared" si="3"/>
        <v>444400</v>
      </c>
      <c r="AS19" s="387">
        <f t="shared" si="5"/>
        <v>444400</v>
      </c>
      <c r="AT19" s="387">
        <f t="shared" si="7"/>
        <v>0</v>
      </c>
    </row>
    <row r="20" spans="1:46">
      <c r="A20" s="384" t="str">
        <f>'Yesler Financial'!A54</f>
        <v>Operating Deficit</v>
      </c>
      <c r="B20" s="385">
        <f>'Yesler Financial'!C54</f>
        <v>5681877.5</v>
      </c>
      <c r="C20" s="386">
        <f t="shared" si="6"/>
        <v>0</v>
      </c>
      <c r="D20" s="386">
        <f t="shared" si="6"/>
        <v>0</v>
      </c>
      <c r="E20" s="386">
        <f t="shared" si="6"/>
        <v>0</v>
      </c>
      <c r="F20" s="386">
        <f t="shared" si="6"/>
        <v>0</v>
      </c>
      <c r="G20" s="386">
        <f t="shared" si="6"/>
        <v>284093.875</v>
      </c>
      <c r="H20" s="386">
        <f t="shared" si="6"/>
        <v>284093.875</v>
      </c>
      <c r="I20" s="386">
        <f t="shared" si="6"/>
        <v>284093.875</v>
      </c>
      <c r="J20" s="386">
        <f t="shared" si="6"/>
        <v>284093.875</v>
      </c>
      <c r="K20" s="386">
        <f t="shared" si="6"/>
        <v>681825.29999999993</v>
      </c>
      <c r="L20" s="386">
        <f t="shared" si="6"/>
        <v>681825.29999999993</v>
      </c>
      <c r="M20" s="386">
        <f t="shared" si="6"/>
        <v>681825.29999999993</v>
      </c>
      <c r="N20" s="386">
        <f t="shared" si="6"/>
        <v>681825.29999999993</v>
      </c>
      <c r="O20" s="386">
        <f t="shared" si="6"/>
        <v>568187.75</v>
      </c>
      <c r="P20" s="386">
        <f t="shared" si="6"/>
        <v>397731.42500000005</v>
      </c>
      <c r="Q20" s="386">
        <f t="shared" si="6"/>
        <v>284093.875</v>
      </c>
      <c r="R20" s="386">
        <f t="shared" si="6"/>
        <v>284093.875</v>
      </c>
      <c r="S20" s="386">
        <f t="shared" si="8"/>
        <v>284093.875</v>
      </c>
      <c r="T20" s="386">
        <f t="shared" si="8"/>
        <v>0</v>
      </c>
      <c r="U20" s="386">
        <f t="shared" si="8"/>
        <v>0</v>
      </c>
      <c r="V20" s="395"/>
      <c r="W20" s="395"/>
      <c r="X20" s="395"/>
      <c r="Y20" s="395"/>
      <c r="Z20" s="395"/>
      <c r="AA20" s="395"/>
      <c r="AB20" s="395"/>
      <c r="AC20" s="395"/>
      <c r="AD20" s="395"/>
      <c r="AE20" s="395"/>
      <c r="AF20" s="395"/>
      <c r="AG20" s="395"/>
      <c r="AH20" s="395"/>
      <c r="AI20" s="395"/>
      <c r="AJ20" s="395"/>
      <c r="AK20" s="258"/>
      <c r="AL20" s="258"/>
      <c r="AM20" s="387"/>
      <c r="AN20" s="387"/>
      <c r="AO20" s="387"/>
      <c r="AP20" s="387"/>
      <c r="AQ20" s="396"/>
      <c r="AR20" s="387">
        <f t="shared" si="3"/>
        <v>5681877.4999999991</v>
      </c>
      <c r="AS20" s="387">
        <f t="shared" si="5"/>
        <v>5681877.5</v>
      </c>
      <c r="AT20" s="387">
        <f t="shared" si="7"/>
        <v>0</v>
      </c>
    </row>
    <row r="21" spans="1:46">
      <c r="A21" s="384" t="str">
        <f>'Yesler Financial'!A56</f>
        <v>Retail Tenant Improvements</v>
      </c>
      <c r="B21" s="385">
        <f>'Yesler Financial'!C56</f>
        <v>2034750</v>
      </c>
      <c r="C21" s="386">
        <f t="shared" si="6"/>
        <v>0</v>
      </c>
      <c r="D21" s="386">
        <f t="shared" si="6"/>
        <v>0</v>
      </c>
      <c r="E21" s="386">
        <f t="shared" si="6"/>
        <v>0</v>
      </c>
      <c r="F21" s="386">
        <f t="shared" si="6"/>
        <v>0</v>
      </c>
      <c r="G21" s="386">
        <f t="shared" si="6"/>
        <v>101737.5</v>
      </c>
      <c r="H21" s="386">
        <f t="shared" si="6"/>
        <v>101737.5</v>
      </c>
      <c r="I21" s="386">
        <f t="shared" si="6"/>
        <v>101737.5</v>
      </c>
      <c r="J21" s="386">
        <f t="shared" si="6"/>
        <v>101737.5</v>
      </c>
      <c r="K21" s="386">
        <f t="shared" si="6"/>
        <v>244170</v>
      </c>
      <c r="L21" s="386">
        <f t="shared" si="6"/>
        <v>244170</v>
      </c>
      <c r="M21" s="386">
        <f t="shared" si="6"/>
        <v>244170</v>
      </c>
      <c r="N21" s="386">
        <f t="shared" si="6"/>
        <v>244170</v>
      </c>
      <c r="O21" s="386">
        <f t="shared" si="6"/>
        <v>203475</v>
      </c>
      <c r="P21" s="386">
        <f t="shared" si="6"/>
        <v>142432.5</v>
      </c>
      <c r="Q21" s="386">
        <f t="shared" si="6"/>
        <v>101737.5</v>
      </c>
      <c r="R21" s="386">
        <f t="shared" si="6"/>
        <v>101737.5</v>
      </c>
      <c r="S21" s="386">
        <f t="shared" si="8"/>
        <v>101737.5</v>
      </c>
      <c r="T21" s="386">
        <f t="shared" si="8"/>
        <v>0</v>
      </c>
      <c r="U21" s="386">
        <f t="shared" si="8"/>
        <v>0</v>
      </c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386"/>
      <c r="AJ21" s="386"/>
      <c r="AK21" s="387"/>
      <c r="AL21" s="387"/>
      <c r="AM21" s="387"/>
      <c r="AN21" s="387"/>
      <c r="AO21" s="387"/>
      <c r="AP21" s="387"/>
      <c r="AQ21" s="387"/>
      <c r="AR21" s="387">
        <f t="shared" si="3"/>
        <v>2034750</v>
      </c>
      <c r="AS21" s="387">
        <f t="shared" si="5"/>
        <v>2034750</v>
      </c>
      <c r="AT21" s="387">
        <f t="shared" si="7"/>
        <v>0</v>
      </c>
    </row>
    <row r="22" spans="1:46">
      <c r="A22" s="384" t="str">
        <f>'Yesler Financial'!A57</f>
        <v>Retail brokerage</v>
      </c>
      <c r="B22" s="385">
        <f>'Yesler Financial'!C57</f>
        <v>406950</v>
      </c>
      <c r="C22" s="386">
        <f>B22</f>
        <v>406950</v>
      </c>
      <c r="D22" s="386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6">
        <v>0</v>
      </c>
      <c r="R22" s="386">
        <v>0</v>
      </c>
      <c r="S22" s="386">
        <v>0</v>
      </c>
      <c r="T22" s="386">
        <v>0</v>
      </c>
      <c r="U22" s="386">
        <v>0</v>
      </c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7"/>
      <c r="AL22" s="387"/>
      <c r="AM22" s="387"/>
      <c r="AN22" s="387"/>
      <c r="AO22" s="387"/>
      <c r="AP22" s="387"/>
      <c r="AQ22" s="387"/>
      <c r="AR22" s="387">
        <f t="shared" si="3"/>
        <v>406950</v>
      </c>
      <c r="AS22" s="387">
        <f t="shared" si="5"/>
        <v>406950</v>
      </c>
      <c r="AT22" s="387">
        <f t="shared" si="7"/>
        <v>0</v>
      </c>
    </row>
    <row r="23" spans="1:46">
      <c r="A23" s="384" t="str">
        <f>'Yesler Financial'!A58</f>
        <v>Construction Loan Origination</v>
      </c>
      <c r="B23" s="385">
        <f>'Yesler Financial'!C58</f>
        <v>421470</v>
      </c>
      <c r="C23" s="386">
        <f>B23</f>
        <v>421470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>
        <v>0</v>
      </c>
      <c r="R23" s="386">
        <v>0</v>
      </c>
      <c r="S23" s="386">
        <v>0</v>
      </c>
      <c r="T23" s="386">
        <v>0</v>
      </c>
      <c r="U23" s="386">
        <v>0</v>
      </c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387"/>
      <c r="AL23" s="387"/>
      <c r="AO23" s="387"/>
      <c r="AP23" s="387"/>
      <c r="AQ23" s="387"/>
      <c r="AR23" s="387">
        <f t="shared" si="3"/>
        <v>421470</v>
      </c>
      <c r="AS23" s="387">
        <f t="shared" si="5"/>
        <v>421470</v>
      </c>
      <c r="AT23" s="387">
        <f t="shared" si="7"/>
        <v>0</v>
      </c>
    </row>
    <row r="24" spans="1:46">
      <c r="A24" s="384" t="str">
        <f>'Yesler Financial'!A59</f>
        <v>Construction Interest</v>
      </c>
      <c r="B24" s="385">
        <f>'Yesler Financial'!C59</f>
        <v>1971830</v>
      </c>
      <c r="C24" s="386">
        <f t="shared" si="6"/>
        <v>0</v>
      </c>
      <c r="D24" s="386">
        <f t="shared" si="6"/>
        <v>0</v>
      </c>
      <c r="E24" s="386">
        <f t="shared" si="6"/>
        <v>0</v>
      </c>
      <c r="F24" s="386">
        <f t="shared" si="6"/>
        <v>0</v>
      </c>
      <c r="G24" s="386">
        <f t="shared" si="6"/>
        <v>98591.5</v>
      </c>
      <c r="H24" s="386">
        <f t="shared" si="6"/>
        <v>98591.5</v>
      </c>
      <c r="I24" s="386">
        <f t="shared" si="6"/>
        <v>98591.5</v>
      </c>
      <c r="J24" s="386">
        <f t="shared" si="6"/>
        <v>98591.5</v>
      </c>
      <c r="K24" s="386">
        <f t="shared" si="6"/>
        <v>236619.59999999998</v>
      </c>
      <c r="L24" s="386">
        <f t="shared" si="6"/>
        <v>236619.59999999998</v>
      </c>
      <c r="M24" s="386">
        <f t="shared" si="6"/>
        <v>236619.59999999998</v>
      </c>
      <c r="N24" s="386">
        <f t="shared" si="6"/>
        <v>236619.59999999998</v>
      </c>
      <c r="O24" s="386">
        <f t="shared" si="6"/>
        <v>197183</v>
      </c>
      <c r="P24" s="386">
        <f t="shared" si="6"/>
        <v>138028.1</v>
      </c>
      <c r="Q24" s="386">
        <f t="shared" si="6"/>
        <v>98591.5</v>
      </c>
      <c r="R24" s="386">
        <f t="shared" si="6"/>
        <v>98591.5</v>
      </c>
      <c r="S24" s="386">
        <f t="shared" si="8"/>
        <v>98591.5</v>
      </c>
      <c r="T24" s="386">
        <f t="shared" si="8"/>
        <v>0</v>
      </c>
      <c r="U24" s="386">
        <f t="shared" si="8"/>
        <v>0</v>
      </c>
      <c r="V24" s="386"/>
      <c r="W24" s="386"/>
      <c r="X24" s="386"/>
      <c r="Y24" s="386"/>
      <c r="Z24" s="395"/>
      <c r="AA24" s="395"/>
      <c r="AB24" s="395"/>
      <c r="AC24" s="395"/>
      <c r="AD24" s="395"/>
      <c r="AE24" s="395"/>
      <c r="AF24" s="395"/>
      <c r="AG24" s="395"/>
      <c r="AH24" s="395"/>
      <c r="AI24" s="395"/>
      <c r="AJ24" s="395"/>
      <c r="AK24" s="387"/>
      <c r="AL24" s="387"/>
      <c r="AM24" s="387"/>
      <c r="AN24" s="387"/>
      <c r="AO24" s="387"/>
      <c r="AP24" s="387"/>
      <c r="AQ24" s="387"/>
      <c r="AR24" s="387">
        <f t="shared" si="3"/>
        <v>1971830</v>
      </c>
      <c r="AS24" s="387">
        <f t="shared" si="5"/>
        <v>1971830</v>
      </c>
      <c r="AT24" s="387">
        <f t="shared" si="7"/>
        <v>0</v>
      </c>
    </row>
    <row r="25" spans="1:46" ht="13.5" thickBot="1">
      <c r="A25" s="509" t="str">
        <f>'Yesler Financial'!A60</f>
        <v>Additional Contingency</v>
      </c>
      <c r="B25" s="398">
        <f>'Yesler Financial'!C60</f>
        <v>446598.37999999995</v>
      </c>
      <c r="C25" s="386">
        <f t="shared" si="6"/>
        <v>0</v>
      </c>
      <c r="D25" s="386">
        <f t="shared" si="6"/>
        <v>0</v>
      </c>
      <c r="E25" s="386">
        <f t="shared" si="6"/>
        <v>0</v>
      </c>
      <c r="F25" s="386">
        <f t="shared" si="6"/>
        <v>0</v>
      </c>
      <c r="G25" s="386">
        <f t="shared" si="6"/>
        <v>22329.918999999998</v>
      </c>
      <c r="H25" s="386">
        <f t="shared" si="6"/>
        <v>22329.918999999998</v>
      </c>
      <c r="I25" s="386">
        <f t="shared" si="6"/>
        <v>22329.918999999998</v>
      </c>
      <c r="J25" s="386">
        <f t="shared" si="6"/>
        <v>22329.918999999998</v>
      </c>
      <c r="K25" s="386">
        <f t="shared" si="6"/>
        <v>53591.805599999992</v>
      </c>
      <c r="L25" s="386">
        <f t="shared" si="6"/>
        <v>53591.805599999992</v>
      </c>
      <c r="M25" s="386">
        <f t="shared" si="6"/>
        <v>53591.805599999992</v>
      </c>
      <c r="N25" s="386">
        <f t="shared" si="6"/>
        <v>53591.805599999992</v>
      </c>
      <c r="O25" s="386">
        <f t="shared" si="6"/>
        <v>44659.837999999996</v>
      </c>
      <c r="P25" s="386">
        <f t="shared" si="6"/>
        <v>31261.886599999998</v>
      </c>
      <c r="Q25" s="386">
        <f t="shared" si="6"/>
        <v>22329.918999999998</v>
      </c>
      <c r="R25" s="386">
        <f t="shared" si="6"/>
        <v>22329.918999999998</v>
      </c>
      <c r="S25" s="386">
        <f t="shared" si="8"/>
        <v>22329.918999999998</v>
      </c>
      <c r="T25" s="386">
        <f t="shared" si="8"/>
        <v>0</v>
      </c>
      <c r="U25" s="386">
        <f t="shared" si="8"/>
        <v>0</v>
      </c>
      <c r="V25" s="399"/>
      <c r="W25" s="399"/>
      <c r="X25" s="399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400"/>
      <c r="AL25" s="400"/>
      <c r="AM25" s="400"/>
      <c r="AN25" s="400"/>
      <c r="AO25" s="400"/>
      <c r="AP25" s="400"/>
      <c r="AQ25" s="400"/>
      <c r="AR25" s="400">
        <f t="shared" si="3"/>
        <v>446598.37999999989</v>
      </c>
      <c r="AS25" s="400">
        <f t="shared" si="5"/>
        <v>446598.37999999995</v>
      </c>
      <c r="AT25" s="387">
        <f t="shared" si="7"/>
        <v>0</v>
      </c>
    </row>
    <row r="26" spans="1:46" ht="14.25" thickTop="1" thickBot="1">
      <c r="A26" s="173" t="str">
        <f>'Yesler Financial'!A61</f>
        <v>Total Project Cost</v>
      </c>
      <c r="B26" s="144">
        <f>SUM(B5:B25)</f>
        <v>58309061.020000003</v>
      </c>
      <c r="C26" s="149">
        <f t="shared" ref="C26:U26" si="9">SUM(C5:C25)</f>
        <v>11213420</v>
      </c>
      <c r="D26" s="149">
        <f t="shared" si="9"/>
        <v>0</v>
      </c>
      <c r="E26" s="149">
        <f t="shared" si="9"/>
        <v>0</v>
      </c>
      <c r="F26" s="149">
        <f t="shared" si="9"/>
        <v>0</v>
      </c>
      <c r="G26" s="149">
        <f t="shared" si="9"/>
        <v>2354782.0510000004</v>
      </c>
      <c r="H26" s="149">
        <f t="shared" si="9"/>
        <v>2354782.0510000004</v>
      </c>
      <c r="I26" s="149">
        <f t="shared" si="9"/>
        <v>2354782.0510000004</v>
      </c>
      <c r="J26" s="149">
        <f t="shared" si="9"/>
        <v>2354782.0510000004</v>
      </c>
      <c r="K26" s="149">
        <f t="shared" si="9"/>
        <v>5651476.9223999996</v>
      </c>
      <c r="L26" s="149">
        <f t="shared" si="9"/>
        <v>5651476.9223999996</v>
      </c>
      <c r="M26" s="149">
        <f t="shared" si="9"/>
        <v>5651476.9223999996</v>
      </c>
      <c r="N26" s="149">
        <f t="shared" si="9"/>
        <v>5651476.9223999996</v>
      </c>
      <c r="O26" s="149">
        <f t="shared" si="9"/>
        <v>4709564.1020000009</v>
      </c>
      <c r="P26" s="149">
        <f t="shared" si="9"/>
        <v>3296694.871400001</v>
      </c>
      <c r="Q26" s="149">
        <f t="shared" si="9"/>
        <v>2354782.0510000004</v>
      </c>
      <c r="R26" s="149">
        <f t="shared" si="9"/>
        <v>2354782.0510000004</v>
      </c>
      <c r="S26" s="149">
        <f t="shared" si="9"/>
        <v>2354782.0510000004</v>
      </c>
      <c r="T26" s="149">
        <f t="shared" si="9"/>
        <v>0</v>
      </c>
      <c r="U26" s="149">
        <f t="shared" si="9"/>
        <v>0</v>
      </c>
      <c r="V26" s="149">
        <f t="shared" ref="V26:AJ26" si="10">SUM(V5:V25)</f>
        <v>0</v>
      </c>
      <c r="W26" s="149">
        <f t="shared" si="10"/>
        <v>0</v>
      </c>
      <c r="X26" s="149">
        <f t="shared" si="10"/>
        <v>0</v>
      </c>
      <c r="Y26" s="149">
        <f t="shared" si="10"/>
        <v>0</v>
      </c>
      <c r="Z26" s="149">
        <f t="shared" si="10"/>
        <v>0</v>
      </c>
      <c r="AA26" s="149">
        <f t="shared" si="10"/>
        <v>0</v>
      </c>
      <c r="AB26" s="149">
        <f t="shared" si="10"/>
        <v>0</v>
      </c>
      <c r="AC26" s="149">
        <f t="shared" si="10"/>
        <v>0</v>
      </c>
      <c r="AD26" s="149">
        <f t="shared" si="10"/>
        <v>0</v>
      </c>
      <c r="AE26" s="149">
        <f t="shared" si="10"/>
        <v>0</v>
      </c>
      <c r="AF26" s="149">
        <f t="shared" si="10"/>
        <v>0</v>
      </c>
      <c r="AG26" s="149">
        <f t="shared" si="10"/>
        <v>0</v>
      </c>
      <c r="AH26" s="149">
        <f t="shared" si="10"/>
        <v>0</v>
      </c>
      <c r="AI26" s="149">
        <f t="shared" si="10"/>
        <v>0</v>
      </c>
      <c r="AJ26" s="149">
        <f t="shared" si="10"/>
        <v>0</v>
      </c>
      <c r="AK26" s="149"/>
      <c r="AL26" s="149"/>
      <c r="AM26" s="149"/>
      <c r="AN26" s="149"/>
      <c r="AO26" s="149"/>
      <c r="AP26" s="149"/>
      <c r="AQ26" s="149"/>
      <c r="AR26" s="146">
        <f>SUM(AR5:AR25)</f>
        <v>58309061.020000003</v>
      </c>
      <c r="AS26" s="145">
        <f>SUM(AS5:AS25)</f>
        <v>58309061.020000003</v>
      </c>
      <c r="AT26" s="145"/>
    </row>
    <row r="27" spans="1:46" ht="13.5" thickTop="1">
      <c r="A27" s="147" t="s">
        <v>261</v>
      </c>
      <c r="B27" s="148">
        <f>IF('Yesler Financial'!B69&lt;0,'Yesler Financial'!B65,0)</f>
        <v>0</v>
      </c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6"/>
      <c r="AS27" s="145"/>
      <c r="AT27" s="145"/>
    </row>
    <row r="28" spans="1:46" ht="13.5" thickBot="1">
      <c r="A28" s="401" t="s">
        <v>262</v>
      </c>
      <c r="B28" s="402">
        <f>B26+B27</f>
        <v>58309061.020000003</v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258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258"/>
      <c r="AR28" s="394"/>
      <c r="AS28" s="394"/>
      <c r="AT28" s="403"/>
    </row>
    <row r="29" spans="1:46">
      <c r="A29" s="404" t="s">
        <v>263</v>
      </c>
      <c r="B29" s="405">
        <f>SUM(C29:U29)</f>
        <v>23441934.208000004</v>
      </c>
      <c r="C29" s="387">
        <f>C26</f>
        <v>11213420</v>
      </c>
      <c r="D29" s="387">
        <f t="shared" ref="D29:U29" si="11">IF(C30+D26&lt;=$B$30,D26,($B$30-C30))</f>
        <v>0</v>
      </c>
      <c r="E29" s="387">
        <f t="shared" si="11"/>
        <v>0</v>
      </c>
      <c r="F29" s="387">
        <f t="shared" si="11"/>
        <v>0</v>
      </c>
      <c r="G29" s="387">
        <f t="shared" si="11"/>
        <v>2354782.0510000004</v>
      </c>
      <c r="H29" s="387">
        <f t="shared" si="11"/>
        <v>2354782.0510000004</v>
      </c>
      <c r="I29" s="387">
        <f t="shared" si="11"/>
        <v>2354782.0510000004</v>
      </c>
      <c r="J29" s="387">
        <f t="shared" si="11"/>
        <v>2354782.0510000004</v>
      </c>
      <c r="K29" s="387">
        <f t="shared" si="11"/>
        <v>2809386.0040000044</v>
      </c>
      <c r="L29" s="387">
        <f t="shared" si="11"/>
        <v>0</v>
      </c>
      <c r="M29" s="387">
        <f t="shared" si="11"/>
        <v>0</v>
      </c>
      <c r="N29" s="387">
        <f t="shared" si="11"/>
        <v>0</v>
      </c>
      <c r="O29" s="387">
        <f t="shared" si="11"/>
        <v>0</v>
      </c>
      <c r="P29" s="387">
        <f t="shared" si="11"/>
        <v>0</v>
      </c>
      <c r="Q29" s="387">
        <f t="shared" si="11"/>
        <v>0</v>
      </c>
      <c r="R29" s="387">
        <f t="shared" si="11"/>
        <v>0</v>
      </c>
      <c r="S29" s="387">
        <f t="shared" si="11"/>
        <v>0</v>
      </c>
      <c r="T29" s="387">
        <f t="shared" si="11"/>
        <v>0</v>
      </c>
      <c r="U29" s="387">
        <f t="shared" si="11"/>
        <v>0</v>
      </c>
      <c r="V29" s="387" t="e">
        <f>IF(#REF!+V26&lt;=$B$30,V26,($B$30-#REF!))</f>
        <v>#REF!</v>
      </c>
      <c r="W29" s="387" t="e">
        <f t="shared" ref="W29" si="12">IF(V30+W26&lt;=$B$30,W26,($B$30-V30))</f>
        <v>#REF!</v>
      </c>
      <c r="X29" s="387" t="e">
        <f t="shared" ref="X29" si="13">IF(W30+X26&lt;=$B$30,X26,($B$30-W30))</f>
        <v>#REF!</v>
      </c>
      <c r="Y29" s="387" t="e">
        <f t="shared" ref="Y29" si="14">IF(X30+Y26&lt;=$B$30,Y26,($B$30-X30))</f>
        <v>#REF!</v>
      </c>
      <c r="Z29" s="387" t="e">
        <f t="shared" ref="Z29" si="15">IF(Y30+Z26&lt;=$B$30,Z26,($B$30-Y30))</f>
        <v>#REF!</v>
      </c>
      <c r="AA29" s="387" t="e">
        <f t="shared" ref="AA29" si="16">IF(Z30+AA26&lt;=$B$30,AA26,($B$30-Z30))</f>
        <v>#REF!</v>
      </c>
      <c r="AB29" s="387" t="e">
        <f t="shared" ref="AB29" si="17">IF(AA30+AB26&lt;=$B$30,AB26,($B$30-AA30))</f>
        <v>#REF!</v>
      </c>
      <c r="AC29" s="387" t="e">
        <f t="shared" ref="AC29" si="18">IF(AB30+AC26&lt;=$B$30,AC26,($B$30-AB30))</f>
        <v>#REF!</v>
      </c>
      <c r="AD29" s="387" t="e">
        <f t="shared" ref="AD29" si="19">IF(AC30+AD26&lt;=$B$30,AD26,($B$30-AC30))</f>
        <v>#REF!</v>
      </c>
      <c r="AE29" s="387" t="e">
        <f t="shared" ref="AE29" si="20">IF(AD30+AE26&lt;=$B$30,AE26,($B$30-AD30))</f>
        <v>#REF!</v>
      </c>
      <c r="AF29" s="387" t="e">
        <f t="shared" ref="AF29" si="21">IF(AE30+AF26&lt;=$B$30,AF26,($B$30-AE30))</f>
        <v>#REF!</v>
      </c>
      <c r="AG29" s="387" t="e">
        <f t="shared" ref="AG29" si="22">IF(AF30+AG26&lt;=$B$30,AG26,($B$30-AF30))</f>
        <v>#REF!</v>
      </c>
      <c r="AH29" s="387" t="e">
        <f t="shared" ref="AH29" si="23">IF(AG30+AH26&lt;=$B$30,AH26,($B$30-AG30))</f>
        <v>#REF!</v>
      </c>
      <c r="AI29" s="387" t="e">
        <f t="shared" ref="AI29" si="24">IF(AH30+AI26&lt;=$B$30,AI26,($B$30-AH30))</f>
        <v>#REF!</v>
      </c>
      <c r="AJ29" s="387" t="e">
        <f t="shared" ref="AJ29" si="25">IF(AI30+AJ26&lt;=$B$30,AJ26,($B$30-AI30))</f>
        <v>#REF!</v>
      </c>
      <c r="AK29" s="387"/>
      <c r="AL29" s="387"/>
      <c r="AM29" s="387"/>
      <c r="AN29" s="387"/>
      <c r="AO29" s="387"/>
      <c r="AP29" s="387"/>
      <c r="AQ29" s="387"/>
      <c r="AR29" s="406"/>
      <c r="AS29" s="406"/>
      <c r="AT29" s="406"/>
    </row>
    <row r="30" spans="1:46" ht="13.5" thickBot="1">
      <c r="A30" s="384" t="s">
        <v>264</v>
      </c>
      <c r="B30" s="151">
        <f>'Yesler Financial'!B72</f>
        <v>23441934.208000004</v>
      </c>
      <c r="C30" s="387">
        <f>C29</f>
        <v>11213420</v>
      </c>
      <c r="D30" s="387">
        <f>IF(SUM($C$29:D$29)&lt;=$B30,SUM($C$29:D$29),0)</f>
        <v>11213420</v>
      </c>
      <c r="E30" s="387">
        <f>IF(SUM($C$29:E29)&lt;=$B30,SUM($C$29:E29),0)</f>
        <v>11213420</v>
      </c>
      <c r="F30" s="387">
        <f>IF(SUM($C$29:F29)&lt;=$B30,SUM($C$29:F29),0)</f>
        <v>11213420</v>
      </c>
      <c r="G30" s="387">
        <f>IF(SUM($C$29:G29)&lt;=$B30,SUM($C$29:G29),0)</f>
        <v>13568202.051000001</v>
      </c>
      <c r="H30" s="387">
        <f>IF(SUM($C$29:H29)&lt;=$B30,SUM($C$29:H29),0)</f>
        <v>15922984.102000002</v>
      </c>
      <c r="I30" s="387">
        <f>IF(SUM($C$29:I29)&lt;=$B30,SUM($C$29:I29),0)</f>
        <v>18277766.153000001</v>
      </c>
      <c r="J30" s="387">
        <f>IF(SUM($C$29:J29)&lt;=$B30,SUM($C$29:J29),0)</f>
        <v>20632548.204</v>
      </c>
      <c r="K30" s="387">
        <f>IF(SUM($C$29:K29)&lt;=$B30,SUM($C$29:K29),0)</f>
        <v>23441934.208000004</v>
      </c>
      <c r="L30" s="387">
        <f>IF(SUM($C$29:L29)&lt;=$B30,SUM($C$29:L29),0)</f>
        <v>23441934.208000004</v>
      </c>
      <c r="M30" s="387">
        <f>IF(SUM($C$29:M29)&lt;=$B30,SUM($C$29:M29),0)</f>
        <v>23441934.208000004</v>
      </c>
      <c r="N30" s="387">
        <f>IF(SUM($C$29:N29)&lt;=$B30,SUM($C$29:N29),0)</f>
        <v>23441934.208000004</v>
      </c>
      <c r="O30" s="387">
        <f>IF(SUM($C$29:O29)&lt;=$B30,SUM($C$29:O29),0)</f>
        <v>23441934.208000004</v>
      </c>
      <c r="P30" s="387">
        <f>IF(SUM($C$29:P29)&lt;=$B30,SUM($C$29:P29),0)</f>
        <v>23441934.208000004</v>
      </c>
      <c r="Q30" s="387">
        <f>IF(SUM($C$29:Q29)&lt;=$B30,SUM($C$29:Q29),0)</f>
        <v>23441934.208000004</v>
      </c>
      <c r="R30" s="387">
        <f>IF(SUM($C$29:R29)&lt;=$B30,SUM($C$29:R29),0)</f>
        <v>23441934.208000004</v>
      </c>
      <c r="S30" s="387">
        <f>IF(SUM($C$29:S29)&lt;=$B30,SUM($C$29:S29),0)</f>
        <v>23441934.208000004</v>
      </c>
      <c r="T30" s="387">
        <f>IF(SUM($C$29:T29)&lt;=$B30,SUM($C$29:T29),0)</f>
        <v>23441934.208000004</v>
      </c>
      <c r="U30" s="387">
        <f>IF(SUM($C$29:U29)&lt;=$B30,SUM($C$29:U29),0)</f>
        <v>23441934.208000004</v>
      </c>
      <c r="V30" s="387" t="e">
        <f>IF(SUM($C$29:V29)&lt;=$B30,SUM($C$29:V29),0)</f>
        <v>#REF!</v>
      </c>
      <c r="W30" s="387" t="e">
        <f>IF(SUM($C$29:W29)&lt;=$B30,SUM($C$29:W29),0)</f>
        <v>#REF!</v>
      </c>
      <c r="X30" s="387" t="e">
        <f>IF(SUM($C$29:X29)&lt;=$B30,SUM($C$29:X29),0)</f>
        <v>#REF!</v>
      </c>
      <c r="Y30" s="387" t="e">
        <f>IF(SUM($C$29:Y29)&lt;=$B30,SUM($C$29:Y29),0)</f>
        <v>#REF!</v>
      </c>
      <c r="Z30" s="387" t="e">
        <f>IF(SUM($C$29:Z29)&lt;=$B30,SUM($C$29:Z29),0)</f>
        <v>#REF!</v>
      </c>
      <c r="AA30" s="387" t="e">
        <f>IF(SUM($C$29:AA29)&lt;=$B30,SUM($C$29:AA29),0)</f>
        <v>#REF!</v>
      </c>
      <c r="AB30" s="387" t="e">
        <f>IF(SUM($C$29:AB29)&lt;=$B30,SUM($C$29:AB29),0)</f>
        <v>#REF!</v>
      </c>
      <c r="AC30" s="387" t="e">
        <f>IF(SUM($C$29:AC29)&lt;=$B30,SUM($C$29:AC29),0)</f>
        <v>#REF!</v>
      </c>
      <c r="AD30" s="387" t="e">
        <f>IF(SUM($C$29:AD29)&lt;=$B30,SUM($C$29:AD29),0)</f>
        <v>#REF!</v>
      </c>
      <c r="AE30" s="387" t="e">
        <f>IF(SUM($C$29:AE29)&lt;=$B30,SUM($C$29:AE29),0)</f>
        <v>#REF!</v>
      </c>
      <c r="AF30" s="387" t="e">
        <f>IF(SUM($C$29:AF29)&lt;=$B30,SUM($C$29:AF29),0)</f>
        <v>#REF!</v>
      </c>
      <c r="AG30" s="387" t="e">
        <f>IF(SUM($C$29:AG29)&lt;=$B30,SUM($C$29:AG29),0)</f>
        <v>#REF!</v>
      </c>
      <c r="AH30" s="387" t="e">
        <f>IF(SUM($C$29:AH29)&lt;=$B30,SUM($C$29:AH29),0)</f>
        <v>#REF!</v>
      </c>
      <c r="AI30" s="387" t="e">
        <f>IF(SUM($C$29:AI29)&lt;=$B30,SUM($C$29:AI29),0)</f>
        <v>#REF!</v>
      </c>
      <c r="AJ30" s="387" t="e">
        <f>IF(SUM($C$29:AJ29)&lt;=$B30,SUM($C$29:AJ29),0)</f>
        <v>#REF!</v>
      </c>
      <c r="AK30" s="387"/>
      <c r="AL30" s="387"/>
      <c r="AM30" s="387"/>
      <c r="AN30" s="387"/>
      <c r="AO30" s="387"/>
      <c r="AP30" s="387"/>
      <c r="AQ30" s="387"/>
      <c r="AR30" s="406"/>
      <c r="AS30" s="406"/>
      <c r="AT30" s="406"/>
    </row>
    <row r="31" spans="1:46">
      <c r="A31" s="152" t="s">
        <v>265</v>
      </c>
      <c r="B31" s="153">
        <f>'Yesler Financial'!B71</f>
        <v>35162901.311999999</v>
      </c>
      <c r="C31" s="407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408"/>
      <c r="AQ31" s="408"/>
      <c r="AR31" s="407"/>
      <c r="AS31" s="407"/>
      <c r="AT31" s="406"/>
    </row>
    <row r="32" spans="1:46" ht="13.5" thickBot="1">
      <c r="A32" s="409" t="s">
        <v>266</v>
      </c>
      <c r="B32" s="410">
        <f>PMT(0.065,30,(B31))</f>
        <v>-2692685.0444183336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408"/>
      <c r="AQ32" s="408"/>
      <c r="AR32" s="407"/>
      <c r="AS32" s="407"/>
      <c r="AT32" s="406"/>
    </row>
    <row r="33" spans="1:46">
      <c r="A33" s="154" t="s">
        <v>267</v>
      </c>
      <c r="B33" s="155">
        <f>SUM(C33:AR33)</f>
        <v>0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258"/>
      <c r="AS33" s="408"/>
      <c r="AT33" s="387"/>
    </row>
    <row r="34" spans="1:46">
      <c r="A34" s="1300" t="s">
        <v>268</v>
      </c>
      <c r="B34" s="1301"/>
      <c r="C34" s="408"/>
      <c r="D34" s="408"/>
      <c r="E34" s="408"/>
      <c r="F34" s="408"/>
      <c r="G34" s="408"/>
      <c r="H34" s="408"/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  <c r="AA34" s="408"/>
      <c r="AB34" s="408"/>
      <c r="AC34" s="408"/>
      <c r="AD34" s="408"/>
      <c r="AE34" s="408"/>
      <c r="AF34" s="408"/>
      <c r="AG34" s="408"/>
      <c r="AH34" s="408"/>
      <c r="AI34" s="408"/>
      <c r="AJ34" s="408"/>
      <c r="AK34" s="408"/>
      <c r="AL34" s="408"/>
      <c r="AM34" s="408"/>
      <c r="AN34" s="408"/>
      <c r="AO34" s="408"/>
      <c r="AP34" s="408"/>
      <c r="AQ34" s="408"/>
      <c r="AR34" s="412"/>
      <c r="AS34" s="408"/>
      <c r="AT34" s="387"/>
    </row>
    <row r="35" spans="1:46">
      <c r="A35" s="394" t="s">
        <v>269</v>
      </c>
      <c r="B35" s="258">
        <f>'Yesler Financial'!B79+'Yesler Financial'!B80</f>
        <v>44791298.688000001</v>
      </c>
      <c r="C35" s="1027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13"/>
      <c r="AH35" s="413"/>
      <c r="AI35" s="413"/>
      <c r="AJ35" s="413"/>
      <c r="AK35" s="413"/>
      <c r="AL35" s="413"/>
      <c r="AM35" s="413"/>
      <c r="AN35" s="413"/>
      <c r="AO35" s="413"/>
      <c r="AP35" s="413"/>
      <c r="AQ35" s="413"/>
      <c r="AR35" s="414"/>
      <c r="AS35" s="415"/>
      <c r="AT35" s="419"/>
    </row>
    <row r="36" spans="1:46">
      <c r="A36" s="394" t="s">
        <v>270</v>
      </c>
      <c r="B36" s="387">
        <f>SUM(C36:U36)</f>
        <v>21349364.479999997</v>
      </c>
      <c r="C36" s="1028">
        <f t="shared" ref="C36:T36" si="26">-C29</f>
        <v>-11213420</v>
      </c>
      <c r="D36" s="417">
        <f t="shared" si="26"/>
        <v>0</v>
      </c>
      <c r="E36" s="417">
        <f t="shared" si="26"/>
        <v>0</v>
      </c>
      <c r="F36" s="417">
        <f t="shared" si="26"/>
        <v>0</v>
      </c>
      <c r="G36" s="417">
        <f t="shared" si="26"/>
        <v>-2354782.0510000004</v>
      </c>
      <c r="H36" s="417">
        <f t="shared" si="26"/>
        <v>-2354782.0510000004</v>
      </c>
      <c r="I36" s="417">
        <f t="shared" si="26"/>
        <v>-2354782.0510000004</v>
      </c>
      <c r="J36" s="417">
        <f t="shared" si="26"/>
        <v>-2354782.0510000004</v>
      </c>
      <c r="K36" s="417">
        <f t="shared" si="26"/>
        <v>-2809386.0040000044</v>
      </c>
      <c r="L36" s="417">
        <f t="shared" si="26"/>
        <v>0</v>
      </c>
      <c r="M36" s="417">
        <f t="shared" si="26"/>
        <v>0</v>
      </c>
      <c r="N36" s="417">
        <f t="shared" si="26"/>
        <v>0</v>
      </c>
      <c r="O36" s="417">
        <f t="shared" si="26"/>
        <v>0</v>
      </c>
      <c r="P36" s="417">
        <f t="shared" si="26"/>
        <v>0</v>
      </c>
      <c r="Q36" s="417">
        <f t="shared" si="26"/>
        <v>0</v>
      </c>
      <c r="R36" s="417">
        <f t="shared" si="26"/>
        <v>0</v>
      </c>
      <c r="S36" s="417">
        <f t="shared" si="26"/>
        <v>0</v>
      </c>
      <c r="T36" s="417">
        <f t="shared" si="26"/>
        <v>0</v>
      </c>
      <c r="U36" s="418">
        <f>B35</f>
        <v>44791298.688000001</v>
      </c>
      <c r="V36" s="417" t="e">
        <f t="shared" ref="V36:AI36" si="27">-V29</f>
        <v>#REF!</v>
      </c>
      <c r="W36" s="417" t="e">
        <f t="shared" si="27"/>
        <v>#REF!</v>
      </c>
      <c r="X36" s="417" t="e">
        <f t="shared" si="27"/>
        <v>#REF!</v>
      </c>
      <c r="Y36" s="417" t="e">
        <f t="shared" si="27"/>
        <v>#REF!</v>
      </c>
      <c r="Z36" s="417" t="e">
        <f t="shared" si="27"/>
        <v>#REF!</v>
      </c>
      <c r="AA36" s="417" t="e">
        <f t="shared" si="27"/>
        <v>#REF!</v>
      </c>
      <c r="AB36" s="417" t="e">
        <f t="shared" si="27"/>
        <v>#REF!</v>
      </c>
      <c r="AC36" s="417" t="e">
        <f t="shared" si="27"/>
        <v>#REF!</v>
      </c>
      <c r="AD36" s="417" t="e">
        <f t="shared" si="27"/>
        <v>#REF!</v>
      </c>
      <c r="AE36" s="417" t="e">
        <f t="shared" si="27"/>
        <v>#REF!</v>
      </c>
      <c r="AF36" s="417" t="e">
        <f t="shared" si="27"/>
        <v>#REF!</v>
      </c>
      <c r="AG36" s="417" t="e">
        <f t="shared" si="27"/>
        <v>#REF!</v>
      </c>
      <c r="AH36" s="417" t="e">
        <f t="shared" si="27"/>
        <v>#REF!</v>
      </c>
      <c r="AI36" s="417" t="e">
        <f t="shared" si="27"/>
        <v>#REF!</v>
      </c>
      <c r="AJ36" s="418">
        <f>B35</f>
        <v>44791298.688000001</v>
      </c>
      <c r="AK36" s="417"/>
      <c r="AL36" s="417"/>
      <c r="AM36" s="417"/>
      <c r="AN36" s="417"/>
      <c r="AO36" s="417"/>
      <c r="AP36" s="417"/>
      <c r="AQ36" s="417"/>
      <c r="AR36" s="419"/>
      <c r="AS36" s="387"/>
      <c r="AT36" s="387"/>
    </row>
    <row r="37" spans="1:46">
      <c r="A37" s="167" t="s">
        <v>271</v>
      </c>
      <c r="B37" s="1029">
        <f>IF(B36&lt;0,0,IRR(C36:U36))</f>
        <v>4.3961635587163483E-2</v>
      </c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14"/>
      <c r="AS37" s="420"/>
      <c r="AT37" s="421"/>
    </row>
    <row r="38" spans="1:46">
      <c r="A38" s="394" t="s">
        <v>272</v>
      </c>
      <c r="B38" s="498">
        <f>POWER((1+B37),4)-1</f>
        <v>0.18778587530545598</v>
      </c>
      <c r="C38" s="414"/>
      <c r="D38" s="414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24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423"/>
      <c r="AJ38" s="424"/>
      <c r="AK38" s="423"/>
      <c r="AL38" s="423"/>
      <c r="AM38" s="423"/>
      <c r="AN38" s="423"/>
      <c r="AO38" s="423"/>
      <c r="AP38" s="423"/>
      <c r="AQ38" s="423"/>
      <c r="AR38" s="423"/>
      <c r="AS38" s="423"/>
      <c r="AT38" s="425"/>
    </row>
    <row r="39" spans="1:46">
      <c r="A39" s="1302" t="s">
        <v>273</v>
      </c>
      <c r="B39" s="1302"/>
      <c r="C39" s="414"/>
      <c r="D39" s="414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4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  <c r="AD39" s="423"/>
      <c r="AE39" s="423"/>
      <c r="AF39" s="423"/>
      <c r="AG39" s="423"/>
      <c r="AH39" s="423"/>
      <c r="AI39" s="423"/>
      <c r="AJ39" s="424"/>
      <c r="AK39" s="423"/>
      <c r="AL39" s="423"/>
      <c r="AM39" s="423"/>
      <c r="AN39" s="423"/>
      <c r="AO39" s="423"/>
      <c r="AP39" s="423"/>
      <c r="AQ39" s="423"/>
      <c r="AR39" s="423"/>
      <c r="AS39" s="423"/>
      <c r="AT39" s="425"/>
    </row>
    <row r="40" spans="1:46">
      <c r="A40" s="404" t="s">
        <v>274</v>
      </c>
      <c r="B40" s="396">
        <f>'Yesler Financial'!B79+'Yesler Financial'!B69</f>
        <v>79954200</v>
      </c>
      <c r="C40" s="414"/>
      <c r="D40" s="414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3"/>
      <c r="P40" s="424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3"/>
      <c r="AJ40" s="424"/>
      <c r="AK40" s="423"/>
      <c r="AL40" s="423"/>
      <c r="AM40" s="423"/>
      <c r="AN40" s="423"/>
      <c r="AO40" s="423"/>
      <c r="AP40" s="423"/>
      <c r="AQ40" s="423"/>
      <c r="AR40" s="423"/>
      <c r="AS40" s="423"/>
      <c r="AT40" s="425"/>
    </row>
    <row r="41" spans="1:46">
      <c r="A41" s="394" t="s">
        <v>275</v>
      </c>
      <c r="B41" s="387">
        <f>SUM(C41:AQ41)</f>
        <v>101599338.98000002</v>
      </c>
      <c r="C41" s="387">
        <f>-C26</f>
        <v>-11213420</v>
      </c>
      <c r="D41" s="387">
        <f>-D26</f>
        <v>0</v>
      </c>
      <c r="E41" s="387">
        <f t="shared" ref="E41:AQ41" si="28">-E26</f>
        <v>0</v>
      </c>
      <c r="F41" s="387">
        <f t="shared" si="28"/>
        <v>0</v>
      </c>
      <c r="G41" s="387">
        <f t="shared" si="28"/>
        <v>-2354782.0510000004</v>
      </c>
      <c r="H41" s="387">
        <f t="shared" si="28"/>
        <v>-2354782.0510000004</v>
      </c>
      <c r="I41" s="387">
        <f t="shared" si="28"/>
        <v>-2354782.0510000004</v>
      </c>
      <c r="J41" s="387">
        <f t="shared" si="28"/>
        <v>-2354782.0510000004</v>
      </c>
      <c r="K41" s="387">
        <f t="shared" si="28"/>
        <v>-5651476.9223999996</v>
      </c>
      <c r="L41" s="387">
        <f t="shared" si="28"/>
        <v>-5651476.9223999996</v>
      </c>
      <c r="M41" s="387">
        <f t="shared" si="28"/>
        <v>-5651476.9223999996</v>
      </c>
      <c r="N41" s="387">
        <f t="shared" si="28"/>
        <v>-5651476.9223999996</v>
      </c>
      <c r="O41" s="387">
        <f t="shared" si="28"/>
        <v>-4709564.1020000009</v>
      </c>
      <c r="P41" s="387">
        <f t="shared" si="28"/>
        <v>-3296694.871400001</v>
      </c>
      <c r="Q41" s="387">
        <f t="shared" si="28"/>
        <v>-2354782.0510000004</v>
      </c>
      <c r="R41" s="387">
        <f t="shared" si="28"/>
        <v>-2354782.0510000004</v>
      </c>
      <c r="S41" s="387">
        <f t="shared" si="28"/>
        <v>-2354782.0510000004</v>
      </c>
      <c r="T41" s="387">
        <f t="shared" si="28"/>
        <v>0</v>
      </c>
      <c r="U41" s="421">
        <f>-U26+B40</f>
        <v>79954200</v>
      </c>
      <c r="V41" s="387">
        <f t="shared" ref="V41:AI41" si="29">-V26</f>
        <v>0</v>
      </c>
      <c r="W41" s="387">
        <f t="shared" si="29"/>
        <v>0</v>
      </c>
      <c r="X41" s="387">
        <f t="shared" si="29"/>
        <v>0</v>
      </c>
      <c r="Y41" s="387">
        <f t="shared" si="29"/>
        <v>0</v>
      </c>
      <c r="Z41" s="387">
        <f t="shared" si="29"/>
        <v>0</v>
      </c>
      <c r="AA41" s="387">
        <f t="shared" si="29"/>
        <v>0</v>
      </c>
      <c r="AB41" s="387">
        <f t="shared" si="29"/>
        <v>0</v>
      </c>
      <c r="AC41" s="387">
        <f t="shared" si="29"/>
        <v>0</v>
      </c>
      <c r="AD41" s="387">
        <f t="shared" si="29"/>
        <v>0</v>
      </c>
      <c r="AE41" s="387">
        <f t="shared" si="29"/>
        <v>0</v>
      </c>
      <c r="AF41" s="387">
        <f t="shared" si="29"/>
        <v>0</v>
      </c>
      <c r="AG41" s="387">
        <f t="shared" si="29"/>
        <v>0</v>
      </c>
      <c r="AH41" s="387">
        <f t="shared" si="29"/>
        <v>0</v>
      </c>
      <c r="AI41" s="387">
        <f t="shared" si="29"/>
        <v>0</v>
      </c>
      <c r="AJ41" s="421">
        <f>-AJ26+B40</f>
        <v>79954200</v>
      </c>
      <c r="AK41" s="387"/>
      <c r="AL41" s="387"/>
      <c r="AM41" s="387">
        <f t="shared" ref="AM41" si="30">-AM26</f>
        <v>0</v>
      </c>
      <c r="AN41" s="387">
        <f t="shared" si="28"/>
        <v>0</v>
      </c>
      <c r="AO41" s="387">
        <f t="shared" si="28"/>
        <v>0</v>
      </c>
      <c r="AP41" s="387">
        <f t="shared" si="28"/>
        <v>0</v>
      </c>
      <c r="AQ41" s="387">
        <f t="shared" si="28"/>
        <v>0</v>
      </c>
      <c r="AR41" s="421"/>
      <c r="AS41" s="394"/>
      <c r="AT41" s="394"/>
    </row>
    <row r="42" spans="1:46">
      <c r="A42" s="394" t="s">
        <v>276</v>
      </c>
      <c r="B42" s="496">
        <f>IF(B41&lt;0,0,IRR(C41:U41))</f>
        <v>3.1196783789004146E-2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08"/>
      <c r="N42" s="414"/>
      <c r="O42" s="414"/>
      <c r="P42" s="414"/>
      <c r="Q42" s="414"/>
      <c r="R42" s="414"/>
      <c r="S42" s="408"/>
      <c r="T42" s="414"/>
      <c r="U42" s="414"/>
      <c r="V42" s="414"/>
      <c r="W42" s="414"/>
      <c r="X42" s="414"/>
      <c r="Y42" s="414"/>
      <c r="Z42" s="414"/>
      <c r="AA42" s="414"/>
      <c r="AB42" s="414"/>
      <c r="AC42" s="414"/>
      <c r="AD42" s="414"/>
      <c r="AE42" s="414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4"/>
      <c r="AR42" s="414"/>
      <c r="AS42" s="414"/>
      <c r="AT42" s="394"/>
    </row>
    <row r="43" spans="1:46">
      <c r="A43" s="394" t="s">
        <v>277</v>
      </c>
      <c r="B43" s="498">
        <f>POWER((1+B42),4)-1</f>
        <v>0.13074896600986685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08"/>
      <c r="N43" s="414"/>
      <c r="O43" s="414"/>
      <c r="P43" s="414"/>
      <c r="Q43" s="414"/>
      <c r="R43" s="414"/>
      <c r="S43" s="408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4"/>
      <c r="AH43" s="414"/>
      <c r="AI43" s="414"/>
      <c r="AJ43" s="414"/>
      <c r="AK43" s="414"/>
      <c r="AL43" s="414"/>
      <c r="AM43" s="414"/>
      <c r="AN43" s="414"/>
      <c r="AO43" s="414"/>
      <c r="AP43" s="414"/>
      <c r="AQ43" s="414"/>
      <c r="AR43" s="414"/>
      <c r="AS43" s="394"/>
      <c r="AT43" s="394"/>
    </row>
    <row r="44" spans="1:46">
      <c r="G44" s="21"/>
    </row>
    <row r="45" spans="1:46">
      <c r="G45" s="21"/>
    </row>
    <row r="46" spans="1:46">
      <c r="G46" s="21"/>
    </row>
    <row r="47" spans="1:46">
      <c r="G47" s="21"/>
    </row>
    <row r="48" spans="1:46">
      <c r="G48" s="21"/>
    </row>
    <row r="49" spans="7:7">
      <c r="G49" s="21"/>
    </row>
    <row r="50" spans="7:7">
      <c r="G50" s="21"/>
    </row>
    <row r="51" spans="7:7">
      <c r="G51" s="21"/>
    </row>
    <row r="52" spans="7:7">
      <c r="G52" s="21"/>
    </row>
    <row r="53" spans="7:7">
      <c r="G53" s="21"/>
    </row>
    <row r="54" spans="7:7">
      <c r="G54" s="21"/>
    </row>
    <row r="55" spans="7:7">
      <c r="G55" s="21"/>
    </row>
    <row r="56" spans="7:7">
      <c r="G56" s="21"/>
    </row>
    <row r="57" spans="7:7">
      <c r="G57" s="21"/>
    </row>
    <row r="58" spans="7:7">
      <c r="G58" s="21"/>
    </row>
    <row r="59" spans="7:7">
      <c r="G59" s="21"/>
    </row>
    <row r="60" spans="7:7">
      <c r="G60" s="21"/>
    </row>
    <row r="61" spans="7:7">
      <c r="G61" s="21"/>
    </row>
    <row r="62" spans="7:7">
      <c r="G62" s="21"/>
    </row>
    <row r="63" spans="7:7">
      <c r="G63" s="21"/>
    </row>
    <row r="64" spans="7:7">
      <c r="G64" s="21"/>
    </row>
    <row r="65" spans="7:7">
      <c r="G65" s="21"/>
    </row>
    <row r="66" spans="7:7">
      <c r="G66" s="21"/>
    </row>
    <row r="67" spans="7:7">
      <c r="G67" s="21"/>
    </row>
    <row r="68" spans="7:7">
      <c r="G68" s="21"/>
    </row>
    <row r="69" spans="7:7">
      <c r="G69" s="21"/>
    </row>
    <row r="70" spans="7:7">
      <c r="G70" s="21"/>
    </row>
    <row r="71" spans="7:7">
      <c r="G71" s="21"/>
    </row>
    <row r="72" spans="7:7">
      <c r="G72" s="21"/>
    </row>
    <row r="73" spans="7:7">
      <c r="G73" s="21"/>
    </row>
    <row r="74" spans="7:7">
      <c r="G74" s="21"/>
    </row>
    <row r="75" spans="7:7">
      <c r="G75" s="21"/>
    </row>
    <row r="76" spans="7:7">
      <c r="G76" s="21"/>
    </row>
    <row r="77" spans="7:7">
      <c r="G77" s="21"/>
    </row>
    <row r="78" spans="7:7">
      <c r="G78" s="21"/>
    </row>
    <row r="79" spans="7:7">
      <c r="G79" s="21"/>
    </row>
    <row r="80" spans="7:7">
      <c r="G80" s="21"/>
    </row>
    <row r="81" spans="7:7">
      <c r="G81" s="21"/>
    </row>
    <row r="82" spans="7:7">
      <c r="G82" s="21"/>
    </row>
    <row r="83" spans="7:7">
      <c r="G83" s="21"/>
    </row>
    <row r="84" spans="7:7">
      <c r="G84" s="21"/>
    </row>
    <row r="85" spans="7:7">
      <c r="G85" s="21"/>
    </row>
    <row r="86" spans="7:7">
      <c r="G86" s="21"/>
    </row>
    <row r="87" spans="7:7">
      <c r="G87" s="21"/>
    </row>
    <row r="88" spans="7:7">
      <c r="G88" s="21"/>
    </row>
    <row r="89" spans="7:7">
      <c r="G89" s="21"/>
    </row>
    <row r="90" spans="7:7">
      <c r="G90" s="21"/>
    </row>
    <row r="91" spans="7:7">
      <c r="G91" s="21"/>
    </row>
    <row r="92" spans="7:7">
      <c r="G92" s="21"/>
    </row>
    <row r="93" spans="7:7">
      <c r="G93" s="21"/>
    </row>
    <row r="94" spans="7:7">
      <c r="G94" s="21"/>
    </row>
    <row r="95" spans="7:7">
      <c r="G95" s="21"/>
    </row>
    <row r="96" spans="7:7">
      <c r="G96" s="21"/>
    </row>
    <row r="97" spans="7:7">
      <c r="G97" s="21"/>
    </row>
    <row r="98" spans="7:7">
      <c r="G98" s="21"/>
    </row>
    <row r="99" spans="7:7">
      <c r="G99" s="21"/>
    </row>
    <row r="100" spans="7:7">
      <c r="G100" s="21"/>
    </row>
    <row r="101" spans="7:7">
      <c r="G101" s="21"/>
    </row>
    <row r="102" spans="7:7">
      <c r="G102" s="21"/>
    </row>
    <row r="103" spans="7:7">
      <c r="G103" s="21"/>
    </row>
    <row r="104" spans="7:7">
      <c r="G104" s="21"/>
    </row>
    <row r="105" spans="7:7">
      <c r="G105" s="21"/>
    </row>
    <row r="106" spans="7:7">
      <c r="G106" s="21"/>
    </row>
    <row r="107" spans="7:7">
      <c r="G107" s="21"/>
    </row>
    <row r="108" spans="7:7">
      <c r="G108" s="21"/>
    </row>
    <row r="109" spans="7:7">
      <c r="G109" s="21"/>
    </row>
    <row r="110" spans="7:7">
      <c r="G110" s="21"/>
    </row>
    <row r="111" spans="7:7">
      <c r="G111" s="21"/>
    </row>
    <row r="112" spans="7:7">
      <c r="G112" s="21"/>
    </row>
    <row r="113" spans="7:7">
      <c r="G113" s="21"/>
    </row>
    <row r="114" spans="7:7">
      <c r="G114" s="21"/>
    </row>
    <row r="115" spans="7:7">
      <c r="G115" s="21"/>
    </row>
    <row r="116" spans="7:7">
      <c r="G116" s="21"/>
    </row>
    <row r="117" spans="7:7">
      <c r="G117" s="21"/>
    </row>
    <row r="118" spans="7:7">
      <c r="G118" s="21"/>
    </row>
    <row r="119" spans="7:7">
      <c r="G119" s="21"/>
    </row>
    <row r="120" spans="7:7">
      <c r="G120" s="21"/>
    </row>
    <row r="121" spans="7:7">
      <c r="G121" s="21"/>
    </row>
    <row r="122" spans="7:7">
      <c r="G122" s="21"/>
    </row>
    <row r="123" spans="7:7">
      <c r="G123" s="21"/>
    </row>
    <row r="124" spans="7:7">
      <c r="G124" s="21"/>
    </row>
    <row r="125" spans="7:7">
      <c r="G125" s="21"/>
    </row>
    <row r="126" spans="7:7">
      <c r="G126" s="21"/>
    </row>
    <row r="127" spans="7:7">
      <c r="G127" s="21"/>
    </row>
    <row r="128" spans="7:7">
      <c r="G128" s="21"/>
    </row>
    <row r="129" spans="7:7">
      <c r="G129" s="21"/>
    </row>
    <row r="130" spans="7:7">
      <c r="G130" s="21"/>
    </row>
    <row r="131" spans="7:7">
      <c r="G131" s="21"/>
    </row>
    <row r="132" spans="7:7">
      <c r="G132" s="21"/>
    </row>
    <row r="133" spans="7:7">
      <c r="G133" s="21"/>
    </row>
    <row r="134" spans="7:7">
      <c r="G134" s="21"/>
    </row>
    <row r="135" spans="7:7">
      <c r="G135" s="21"/>
    </row>
    <row r="136" spans="7:7">
      <c r="G136" s="21"/>
    </row>
    <row r="137" spans="7:7">
      <c r="G137" s="21"/>
    </row>
    <row r="138" spans="7:7">
      <c r="G138" s="21"/>
    </row>
    <row r="139" spans="7:7">
      <c r="G139" s="21"/>
    </row>
    <row r="140" spans="7:7">
      <c r="G140" s="21"/>
    </row>
    <row r="141" spans="7:7">
      <c r="G141" s="21"/>
    </row>
    <row r="142" spans="7:7">
      <c r="G142" s="21"/>
    </row>
    <row r="143" spans="7:7">
      <c r="G143" s="21"/>
    </row>
    <row r="144" spans="7:7">
      <c r="G144" s="21"/>
    </row>
    <row r="145" spans="7:7">
      <c r="G145" s="21"/>
    </row>
    <row r="146" spans="7:7">
      <c r="G146" s="21"/>
    </row>
    <row r="147" spans="7:7">
      <c r="G147" s="21"/>
    </row>
    <row r="148" spans="7:7">
      <c r="G148" s="21"/>
    </row>
    <row r="149" spans="7:7">
      <c r="G149" s="21"/>
    </row>
    <row r="150" spans="7:7">
      <c r="G150" s="21"/>
    </row>
    <row r="151" spans="7:7">
      <c r="G151" s="21"/>
    </row>
    <row r="152" spans="7:7">
      <c r="G152" s="21"/>
    </row>
    <row r="153" spans="7:7">
      <c r="G153" s="21"/>
    </row>
    <row r="154" spans="7:7">
      <c r="G154" s="21"/>
    </row>
    <row r="155" spans="7:7">
      <c r="G155" s="21"/>
    </row>
    <row r="156" spans="7:7">
      <c r="G156" s="21"/>
    </row>
    <row r="157" spans="7:7">
      <c r="G157" s="21"/>
    </row>
    <row r="158" spans="7:7">
      <c r="G158" s="21"/>
    </row>
    <row r="159" spans="7:7">
      <c r="G159" s="21"/>
    </row>
    <row r="160" spans="7:7">
      <c r="G160" s="21"/>
    </row>
    <row r="161" spans="7:7">
      <c r="G161" s="21"/>
    </row>
    <row r="162" spans="7:7">
      <c r="G162" s="21"/>
    </row>
    <row r="163" spans="7:7">
      <c r="G163" s="21"/>
    </row>
    <row r="164" spans="7:7">
      <c r="G164" s="21"/>
    </row>
    <row r="165" spans="7:7">
      <c r="G165" s="21"/>
    </row>
    <row r="166" spans="7:7">
      <c r="G166" s="21"/>
    </row>
    <row r="167" spans="7:7">
      <c r="G167" s="21"/>
    </row>
    <row r="168" spans="7:7">
      <c r="G168" s="21"/>
    </row>
    <row r="169" spans="7:7">
      <c r="G169" s="21"/>
    </row>
    <row r="170" spans="7:7">
      <c r="G170" s="21"/>
    </row>
    <row r="171" spans="7:7">
      <c r="G171" s="21"/>
    </row>
    <row r="172" spans="7:7">
      <c r="G172" s="21"/>
    </row>
    <row r="173" spans="7:7">
      <c r="G173" s="21"/>
    </row>
    <row r="174" spans="7:7">
      <c r="G174" s="21"/>
    </row>
    <row r="175" spans="7:7">
      <c r="G175" s="21"/>
    </row>
    <row r="176" spans="7:7">
      <c r="G176" s="21"/>
    </row>
    <row r="177" spans="7:7">
      <c r="G177" s="21"/>
    </row>
    <row r="178" spans="7:7">
      <c r="G178" s="21"/>
    </row>
    <row r="179" spans="7:7">
      <c r="G179" s="21"/>
    </row>
    <row r="180" spans="7:7">
      <c r="G180" s="21"/>
    </row>
    <row r="181" spans="7:7">
      <c r="G181" s="21"/>
    </row>
    <row r="182" spans="7:7">
      <c r="G182" s="21"/>
    </row>
    <row r="183" spans="7:7">
      <c r="G183" s="21"/>
    </row>
    <row r="184" spans="7:7">
      <c r="G184" s="21"/>
    </row>
    <row r="185" spans="7:7">
      <c r="G185" s="21"/>
    </row>
    <row r="186" spans="7:7">
      <c r="G186" s="21"/>
    </row>
    <row r="187" spans="7:7">
      <c r="G187" s="21"/>
    </row>
    <row r="188" spans="7:7">
      <c r="G188" s="21"/>
    </row>
    <row r="189" spans="7:7">
      <c r="G189" s="21"/>
    </row>
    <row r="190" spans="7:7">
      <c r="G190" s="21"/>
    </row>
    <row r="191" spans="7:7">
      <c r="G191" s="21"/>
    </row>
    <row r="192" spans="7:7">
      <c r="G192" s="21"/>
    </row>
    <row r="193" spans="7:7">
      <c r="G193" s="21"/>
    </row>
    <row r="194" spans="7:7">
      <c r="G194" s="21"/>
    </row>
    <row r="195" spans="7:7">
      <c r="G195" s="21"/>
    </row>
    <row r="196" spans="7:7">
      <c r="G196" s="21"/>
    </row>
    <row r="197" spans="7:7">
      <c r="G197" s="21"/>
    </row>
    <row r="198" spans="7:7">
      <c r="G198" s="21"/>
    </row>
    <row r="199" spans="7:7">
      <c r="G199" s="21"/>
    </row>
    <row r="200" spans="7:7">
      <c r="G200" s="21"/>
    </row>
    <row r="201" spans="7:7">
      <c r="G201" s="21"/>
    </row>
    <row r="202" spans="7:7">
      <c r="G202" s="21"/>
    </row>
    <row r="203" spans="7:7">
      <c r="G203" s="21"/>
    </row>
    <row r="204" spans="7:7">
      <c r="G204" s="21"/>
    </row>
    <row r="205" spans="7:7">
      <c r="G205" s="21"/>
    </row>
    <row r="206" spans="7:7">
      <c r="G206" s="21"/>
    </row>
    <row r="207" spans="7:7">
      <c r="G207" s="21"/>
    </row>
    <row r="208" spans="7:7">
      <c r="G208" s="21"/>
    </row>
    <row r="209" spans="7:7">
      <c r="G209" s="21"/>
    </row>
    <row r="210" spans="7:7">
      <c r="G210" s="21"/>
    </row>
    <row r="211" spans="7:7">
      <c r="G211" s="21"/>
    </row>
    <row r="212" spans="7:7">
      <c r="G212" s="21"/>
    </row>
    <row r="213" spans="7:7">
      <c r="G213" s="21"/>
    </row>
    <row r="214" spans="7:7">
      <c r="G214" s="21"/>
    </row>
    <row r="215" spans="7:7">
      <c r="G215" s="21"/>
    </row>
    <row r="216" spans="7:7">
      <c r="G216" s="21"/>
    </row>
    <row r="217" spans="7:7">
      <c r="G217" s="21"/>
    </row>
    <row r="218" spans="7:7">
      <c r="G218" s="21"/>
    </row>
    <row r="219" spans="7:7">
      <c r="G219" s="21"/>
    </row>
    <row r="220" spans="7:7">
      <c r="G220" s="21"/>
    </row>
    <row r="221" spans="7:7">
      <c r="G221" s="21"/>
    </row>
    <row r="222" spans="7:7">
      <c r="G222" s="21"/>
    </row>
    <row r="223" spans="7:7">
      <c r="G223" s="21"/>
    </row>
    <row r="224" spans="7:7">
      <c r="G224" s="21"/>
    </row>
    <row r="225" spans="7:7">
      <c r="G225" s="21"/>
    </row>
    <row r="226" spans="7:7">
      <c r="G226" s="21"/>
    </row>
    <row r="227" spans="7:7">
      <c r="G227" s="21"/>
    </row>
    <row r="228" spans="7:7">
      <c r="G228" s="21"/>
    </row>
    <row r="229" spans="7:7">
      <c r="G229" s="21"/>
    </row>
    <row r="230" spans="7:7">
      <c r="G230" s="21"/>
    </row>
    <row r="231" spans="7:7">
      <c r="G231" s="21"/>
    </row>
    <row r="232" spans="7:7">
      <c r="G232" s="21"/>
    </row>
    <row r="233" spans="7:7">
      <c r="G233" s="21"/>
    </row>
    <row r="234" spans="7:7">
      <c r="G234" s="21"/>
    </row>
    <row r="235" spans="7:7">
      <c r="G235" s="21"/>
    </row>
    <row r="236" spans="7:7">
      <c r="G236" s="21"/>
    </row>
    <row r="237" spans="7:7">
      <c r="G237" s="21"/>
    </row>
    <row r="238" spans="7:7">
      <c r="G238" s="21"/>
    </row>
    <row r="239" spans="7:7">
      <c r="G239" s="21"/>
    </row>
    <row r="240" spans="7:7">
      <c r="G240" s="21"/>
    </row>
    <row r="241" spans="7:7">
      <c r="G241" s="21"/>
    </row>
    <row r="242" spans="7:7">
      <c r="G242" s="21"/>
    </row>
    <row r="243" spans="7:7">
      <c r="G243" s="21"/>
    </row>
    <row r="244" spans="7:7">
      <c r="G244" s="21"/>
    </row>
    <row r="245" spans="7:7">
      <c r="G245" s="21"/>
    </row>
    <row r="246" spans="7:7">
      <c r="G246" s="21"/>
    </row>
    <row r="247" spans="7:7">
      <c r="G247" s="21"/>
    </row>
    <row r="248" spans="7:7">
      <c r="G248" s="21"/>
    </row>
    <row r="249" spans="7:7">
      <c r="G249" s="21"/>
    </row>
    <row r="250" spans="7:7">
      <c r="G250" s="21"/>
    </row>
    <row r="251" spans="7:7">
      <c r="G251" s="21"/>
    </row>
    <row r="252" spans="7:7">
      <c r="G252" s="21"/>
    </row>
    <row r="253" spans="7:7">
      <c r="G253" s="21"/>
    </row>
    <row r="254" spans="7:7">
      <c r="G254" s="21"/>
    </row>
    <row r="255" spans="7:7">
      <c r="G255" s="21"/>
    </row>
    <row r="256" spans="7:7">
      <c r="G256" s="21"/>
    </row>
    <row r="257" spans="7:7">
      <c r="G257" s="21"/>
    </row>
    <row r="258" spans="7:7">
      <c r="G258" s="21"/>
    </row>
    <row r="259" spans="7:7">
      <c r="G259" s="21"/>
    </row>
    <row r="260" spans="7:7">
      <c r="G260" s="21"/>
    </row>
    <row r="261" spans="7:7">
      <c r="G261" s="21"/>
    </row>
    <row r="262" spans="7:7">
      <c r="G262" s="21"/>
    </row>
    <row r="263" spans="7:7">
      <c r="G263" s="21"/>
    </row>
    <row r="264" spans="7:7">
      <c r="G264" s="21"/>
    </row>
    <row r="265" spans="7:7">
      <c r="G265" s="21"/>
    </row>
    <row r="266" spans="7:7">
      <c r="G266" s="21"/>
    </row>
    <row r="267" spans="7:7">
      <c r="G267" s="21"/>
    </row>
    <row r="268" spans="7:7">
      <c r="G268" s="21"/>
    </row>
    <row r="269" spans="7:7">
      <c r="G269" s="21"/>
    </row>
    <row r="270" spans="7:7">
      <c r="G270" s="21"/>
    </row>
    <row r="271" spans="7:7">
      <c r="G271" s="21"/>
    </row>
    <row r="272" spans="7:7">
      <c r="G272" s="21"/>
    </row>
    <row r="273" spans="7:7">
      <c r="G273" s="21"/>
    </row>
    <row r="274" spans="7:7">
      <c r="G274" s="21"/>
    </row>
    <row r="275" spans="7:7">
      <c r="G275" s="21"/>
    </row>
    <row r="276" spans="7:7">
      <c r="G276" s="21"/>
    </row>
    <row r="277" spans="7:7">
      <c r="G277" s="21"/>
    </row>
    <row r="278" spans="7:7">
      <c r="G278" s="21"/>
    </row>
    <row r="279" spans="7:7">
      <c r="G279" s="21"/>
    </row>
    <row r="280" spans="7:7">
      <c r="G280" s="21"/>
    </row>
    <row r="281" spans="7:7">
      <c r="G281" s="21"/>
    </row>
    <row r="282" spans="7:7">
      <c r="G282" s="21"/>
    </row>
    <row r="283" spans="7:7">
      <c r="G283" s="21"/>
    </row>
    <row r="284" spans="7:7">
      <c r="G284" s="21"/>
    </row>
    <row r="285" spans="7:7">
      <c r="G285" s="21"/>
    </row>
    <row r="286" spans="7:7">
      <c r="G286" s="21"/>
    </row>
    <row r="287" spans="7:7">
      <c r="G287" s="21"/>
    </row>
    <row r="288" spans="7:7">
      <c r="G288" s="21"/>
    </row>
    <row r="289" spans="7:7">
      <c r="G289" s="21"/>
    </row>
    <row r="290" spans="7:7">
      <c r="G290" s="21"/>
    </row>
    <row r="291" spans="7:7">
      <c r="G291" s="21"/>
    </row>
    <row r="292" spans="7:7">
      <c r="G292" s="21"/>
    </row>
    <row r="293" spans="7:7">
      <c r="G293" s="21"/>
    </row>
    <row r="294" spans="7:7">
      <c r="G294" s="21"/>
    </row>
    <row r="295" spans="7:7">
      <c r="G295" s="21"/>
    </row>
    <row r="296" spans="7:7">
      <c r="G296" s="21"/>
    </row>
    <row r="297" spans="7:7">
      <c r="G297" s="21"/>
    </row>
    <row r="298" spans="7:7">
      <c r="G298" s="21"/>
    </row>
    <row r="299" spans="7:7">
      <c r="G299" s="21"/>
    </row>
    <row r="300" spans="7:7">
      <c r="G300" s="21"/>
    </row>
    <row r="301" spans="7:7">
      <c r="G301" s="21"/>
    </row>
    <row r="302" spans="7:7">
      <c r="G302" s="21"/>
    </row>
    <row r="303" spans="7:7">
      <c r="G303" s="21"/>
    </row>
    <row r="304" spans="7:7">
      <c r="G304" s="21"/>
    </row>
    <row r="305" spans="7:7">
      <c r="G305" s="21"/>
    </row>
    <row r="306" spans="7:7">
      <c r="G306" s="21"/>
    </row>
    <row r="307" spans="7:7">
      <c r="G307" s="21"/>
    </row>
    <row r="308" spans="7:7">
      <c r="G308" s="21"/>
    </row>
    <row r="309" spans="7:7">
      <c r="G309" s="21"/>
    </row>
    <row r="310" spans="7:7">
      <c r="G310" s="21"/>
    </row>
    <row r="311" spans="7:7">
      <c r="G311" s="21"/>
    </row>
    <row r="312" spans="7:7">
      <c r="G312" s="21"/>
    </row>
    <row r="313" spans="7:7">
      <c r="G313" s="21"/>
    </row>
    <row r="314" spans="7:7">
      <c r="G314" s="21"/>
    </row>
    <row r="315" spans="7:7">
      <c r="G315" s="21"/>
    </row>
    <row r="316" spans="7:7">
      <c r="G316" s="21"/>
    </row>
    <row r="317" spans="7:7">
      <c r="G317" s="21"/>
    </row>
    <row r="318" spans="7:7">
      <c r="G318" s="21"/>
    </row>
    <row r="319" spans="7:7">
      <c r="G319" s="21"/>
    </row>
    <row r="320" spans="7:7">
      <c r="G320" s="21"/>
    </row>
    <row r="321" spans="7:7">
      <c r="G321" s="21"/>
    </row>
    <row r="322" spans="7:7">
      <c r="G322" s="21"/>
    </row>
    <row r="323" spans="7:7">
      <c r="G323" s="21"/>
    </row>
    <row r="324" spans="7:7">
      <c r="G324" s="21"/>
    </row>
    <row r="325" spans="7:7">
      <c r="G325" s="21"/>
    </row>
    <row r="326" spans="7:7">
      <c r="G326" s="21"/>
    </row>
    <row r="327" spans="7:7">
      <c r="G327" s="21"/>
    </row>
    <row r="328" spans="7:7">
      <c r="G328" s="21"/>
    </row>
    <row r="329" spans="7:7">
      <c r="G329" s="21"/>
    </row>
    <row r="330" spans="7:7">
      <c r="G330" s="21"/>
    </row>
    <row r="331" spans="7:7">
      <c r="G331" s="21"/>
    </row>
    <row r="332" spans="7:7">
      <c r="G332" s="21"/>
    </row>
    <row r="333" spans="7:7">
      <c r="G333" s="21"/>
    </row>
    <row r="334" spans="7:7">
      <c r="G334" s="21"/>
    </row>
    <row r="335" spans="7:7">
      <c r="G335" s="21"/>
    </row>
    <row r="336" spans="7:7">
      <c r="G336" s="21"/>
    </row>
    <row r="337" spans="7:7">
      <c r="G337" s="21"/>
    </row>
    <row r="338" spans="7:7">
      <c r="G338" s="21"/>
    </row>
    <row r="339" spans="7:7">
      <c r="G339" s="21"/>
    </row>
    <row r="340" spans="7:7">
      <c r="G340" s="21"/>
    </row>
    <row r="341" spans="7:7">
      <c r="G341" s="21"/>
    </row>
    <row r="342" spans="7:7">
      <c r="G342" s="21"/>
    </row>
    <row r="343" spans="7:7">
      <c r="G343" s="21"/>
    </row>
    <row r="344" spans="7:7">
      <c r="G344" s="21"/>
    </row>
    <row r="345" spans="7:7">
      <c r="G345" s="21"/>
    </row>
    <row r="346" spans="7:7">
      <c r="G346" s="21"/>
    </row>
    <row r="347" spans="7:7">
      <c r="G347" s="21"/>
    </row>
    <row r="348" spans="7:7">
      <c r="G348" s="21"/>
    </row>
    <row r="349" spans="7:7">
      <c r="G349" s="21"/>
    </row>
    <row r="350" spans="7:7">
      <c r="G350" s="21"/>
    </row>
    <row r="351" spans="7:7">
      <c r="G351" s="21"/>
    </row>
    <row r="352" spans="7:7">
      <c r="G352" s="21"/>
    </row>
    <row r="353" spans="7:7">
      <c r="G353" s="21"/>
    </row>
    <row r="354" spans="7:7">
      <c r="G354" s="21"/>
    </row>
    <row r="355" spans="7:7">
      <c r="G355" s="21"/>
    </row>
    <row r="356" spans="7:7">
      <c r="G356" s="21"/>
    </row>
    <row r="357" spans="7:7">
      <c r="G357" s="21"/>
    </row>
    <row r="358" spans="7:7">
      <c r="G358" s="21"/>
    </row>
    <row r="359" spans="7:7">
      <c r="G359" s="21"/>
    </row>
    <row r="360" spans="7:7">
      <c r="G360" s="21"/>
    </row>
    <row r="361" spans="7:7">
      <c r="G361" s="21"/>
    </row>
    <row r="362" spans="7:7">
      <c r="G362" s="21"/>
    </row>
    <row r="363" spans="7:7">
      <c r="G363" s="21"/>
    </row>
    <row r="364" spans="7:7">
      <c r="G364" s="21"/>
    </row>
    <row r="365" spans="7:7">
      <c r="G365" s="21"/>
    </row>
    <row r="366" spans="7:7">
      <c r="G366" s="21"/>
    </row>
    <row r="367" spans="7:7">
      <c r="G367" s="21"/>
    </row>
    <row r="368" spans="7:7">
      <c r="G368" s="21"/>
    </row>
    <row r="369" spans="7:7">
      <c r="G369" s="21"/>
    </row>
    <row r="370" spans="7:7">
      <c r="G370" s="21"/>
    </row>
    <row r="371" spans="7:7">
      <c r="G371" s="21"/>
    </row>
    <row r="372" spans="7:7">
      <c r="G372" s="21"/>
    </row>
    <row r="373" spans="7:7">
      <c r="G373" s="21"/>
    </row>
    <row r="374" spans="7:7">
      <c r="G374" s="21"/>
    </row>
    <row r="375" spans="7:7">
      <c r="G375" s="21"/>
    </row>
    <row r="376" spans="7:7">
      <c r="G376" s="21"/>
    </row>
    <row r="377" spans="7:7">
      <c r="G377" s="21"/>
    </row>
    <row r="378" spans="7:7">
      <c r="G378" s="21"/>
    </row>
    <row r="379" spans="7:7">
      <c r="G379" s="21"/>
    </row>
    <row r="380" spans="7:7">
      <c r="G380" s="21"/>
    </row>
    <row r="381" spans="7:7">
      <c r="G381" s="21"/>
    </row>
    <row r="382" spans="7:7">
      <c r="G382" s="21"/>
    </row>
    <row r="383" spans="7:7">
      <c r="G383" s="21"/>
    </row>
    <row r="384" spans="7:7">
      <c r="G384" s="21"/>
    </row>
    <row r="385" spans="7:7">
      <c r="G385" s="21"/>
    </row>
    <row r="386" spans="7:7">
      <c r="G386" s="21"/>
    </row>
    <row r="387" spans="7:7">
      <c r="G387" s="21"/>
    </row>
    <row r="388" spans="7:7">
      <c r="G388" s="21"/>
    </row>
    <row r="389" spans="7:7">
      <c r="G389" s="21"/>
    </row>
    <row r="390" spans="7:7">
      <c r="G390" s="21"/>
    </row>
    <row r="391" spans="7:7">
      <c r="G391" s="21"/>
    </row>
    <row r="392" spans="7:7">
      <c r="G392" s="21"/>
    </row>
    <row r="393" spans="7:7">
      <c r="G393" s="21"/>
    </row>
    <row r="394" spans="7:7">
      <c r="G394" s="21"/>
    </row>
    <row r="395" spans="7:7">
      <c r="G395" s="21"/>
    </row>
    <row r="396" spans="7:7">
      <c r="G396" s="21"/>
    </row>
    <row r="397" spans="7:7">
      <c r="G397" s="21"/>
    </row>
    <row r="398" spans="7:7">
      <c r="G398" s="21"/>
    </row>
    <row r="399" spans="7:7">
      <c r="G399" s="21"/>
    </row>
    <row r="400" spans="7:7">
      <c r="G400" s="21"/>
    </row>
    <row r="401" spans="7:7">
      <c r="G401" s="21"/>
    </row>
    <row r="402" spans="7:7">
      <c r="G402" s="21"/>
    </row>
    <row r="403" spans="7:7">
      <c r="G403" s="21"/>
    </row>
    <row r="404" spans="7:7">
      <c r="G404" s="21"/>
    </row>
    <row r="405" spans="7:7">
      <c r="G405" s="21"/>
    </row>
    <row r="406" spans="7:7">
      <c r="G406" s="21"/>
    </row>
    <row r="407" spans="7:7">
      <c r="G407" s="21"/>
    </row>
    <row r="408" spans="7:7">
      <c r="G408" s="21"/>
    </row>
    <row r="409" spans="7:7">
      <c r="G409" s="21"/>
    </row>
    <row r="410" spans="7:7">
      <c r="G410" s="21"/>
    </row>
    <row r="411" spans="7:7">
      <c r="G411" s="21"/>
    </row>
    <row r="412" spans="7:7">
      <c r="G412" s="21"/>
    </row>
    <row r="413" spans="7:7">
      <c r="G413" s="21"/>
    </row>
    <row r="414" spans="7:7">
      <c r="G414" s="21"/>
    </row>
    <row r="415" spans="7:7">
      <c r="G415" s="21"/>
    </row>
    <row r="416" spans="7:7">
      <c r="G416" s="21"/>
    </row>
    <row r="417" spans="7:7">
      <c r="G417" s="21"/>
    </row>
    <row r="418" spans="7:7">
      <c r="G418" s="21"/>
    </row>
    <row r="419" spans="7:7">
      <c r="G419" s="21"/>
    </row>
    <row r="420" spans="7:7">
      <c r="G420" s="21"/>
    </row>
    <row r="421" spans="7:7">
      <c r="G421" s="21"/>
    </row>
    <row r="422" spans="7:7">
      <c r="G422" s="21"/>
    </row>
    <row r="423" spans="7:7">
      <c r="G423" s="21"/>
    </row>
    <row r="424" spans="7:7">
      <c r="G424" s="21"/>
    </row>
    <row r="425" spans="7:7">
      <c r="G425" s="21"/>
    </row>
    <row r="426" spans="7:7">
      <c r="G426" s="21"/>
    </row>
    <row r="427" spans="7:7">
      <c r="G427" s="21"/>
    </row>
    <row r="428" spans="7:7">
      <c r="G428" s="21"/>
    </row>
    <row r="429" spans="7:7">
      <c r="G429" s="21"/>
    </row>
    <row r="430" spans="7:7">
      <c r="G430" s="21"/>
    </row>
    <row r="431" spans="7:7">
      <c r="G431" s="21"/>
    </row>
    <row r="432" spans="7:7">
      <c r="G432" s="21"/>
    </row>
    <row r="433" spans="7:7">
      <c r="G433" s="21"/>
    </row>
    <row r="434" spans="7:7">
      <c r="G434" s="21"/>
    </row>
    <row r="435" spans="7:7">
      <c r="G435" s="21"/>
    </row>
    <row r="436" spans="7:7">
      <c r="G436" s="21"/>
    </row>
    <row r="437" spans="7:7">
      <c r="G437" s="21"/>
    </row>
    <row r="438" spans="7:7">
      <c r="G438" s="21"/>
    </row>
    <row r="439" spans="7:7">
      <c r="G439" s="21"/>
    </row>
    <row r="440" spans="7:7">
      <c r="G440" s="21"/>
    </row>
    <row r="441" spans="7:7">
      <c r="G441" s="21"/>
    </row>
    <row r="442" spans="7:7">
      <c r="G442" s="21"/>
    </row>
    <row r="443" spans="7:7">
      <c r="G443" s="21"/>
    </row>
    <row r="444" spans="7:7">
      <c r="G444" s="21"/>
    </row>
    <row r="445" spans="7:7">
      <c r="G445" s="21"/>
    </row>
    <row r="446" spans="7:7">
      <c r="G446" s="21"/>
    </row>
    <row r="447" spans="7:7">
      <c r="G447" s="21"/>
    </row>
    <row r="448" spans="7:7">
      <c r="G448" s="21"/>
    </row>
    <row r="449" spans="7:7">
      <c r="G449" s="21"/>
    </row>
    <row r="450" spans="7:7">
      <c r="G450" s="21"/>
    </row>
    <row r="451" spans="7:7">
      <c r="G451" s="21"/>
    </row>
    <row r="452" spans="7:7">
      <c r="G452" s="21"/>
    </row>
    <row r="453" spans="7:7">
      <c r="G453" s="21"/>
    </row>
    <row r="454" spans="7:7">
      <c r="G454" s="21"/>
    </row>
    <row r="455" spans="7:7">
      <c r="G455" s="21"/>
    </row>
    <row r="456" spans="7:7">
      <c r="G456" s="21"/>
    </row>
    <row r="457" spans="7:7">
      <c r="G457" s="21"/>
    </row>
    <row r="458" spans="7:7">
      <c r="G458" s="21"/>
    </row>
    <row r="459" spans="7:7">
      <c r="G459" s="21"/>
    </row>
    <row r="460" spans="7:7">
      <c r="G460" s="21"/>
    </row>
    <row r="461" spans="7:7">
      <c r="G461" s="21"/>
    </row>
    <row r="462" spans="7:7">
      <c r="G462" s="21"/>
    </row>
    <row r="463" spans="7:7">
      <c r="G463" s="21"/>
    </row>
    <row r="464" spans="7:7">
      <c r="G464" s="21"/>
    </row>
    <row r="465" spans="7:7">
      <c r="G465" s="21"/>
    </row>
    <row r="466" spans="7:7">
      <c r="G466" s="21"/>
    </row>
    <row r="467" spans="7:7">
      <c r="G467" s="21"/>
    </row>
    <row r="468" spans="7:7">
      <c r="G468" s="21"/>
    </row>
    <row r="469" spans="7:7">
      <c r="G469" s="21"/>
    </row>
    <row r="470" spans="7:7">
      <c r="G470" s="21"/>
    </row>
    <row r="471" spans="7:7">
      <c r="G471" s="21"/>
    </row>
    <row r="472" spans="7:7">
      <c r="G472" s="21"/>
    </row>
    <row r="473" spans="7:7">
      <c r="G473" s="21"/>
    </row>
    <row r="474" spans="7:7">
      <c r="G474" s="21"/>
    </row>
    <row r="475" spans="7:7">
      <c r="G475" s="21"/>
    </row>
    <row r="476" spans="7:7">
      <c r="G476" s="21"/>
    </row>
    <row r="477" spans="7:7">
      <c r="G477" s="21"/>
    </row>
    <row r="478" spans="7:7">
      <c r="G478" s="21"/>
    </row>
    <row r="479" spans="7:7">
      <c r="G479" s="21"/>
    </row>
    <row r="480" spans="7:7">
      <c r="G480" s="21"/>
    </row>
    <row r="481" spans="7:7">
      <c r="G481" s="21"/>
    </row>
    <row r="482" spans="7:7">
      <c r="G482" s="21"/>
    </row>
    <row r="483" spans="7:7">
      <c r="G483" s="21"/>
    </row>
    <row r="484" spans="7:7">
      <c r="G484" s="21"/>
    </row>
    <row r="485" spans="7:7">
      <c r="G485" s="21"/>
    </row>
    <row r="486" spans="7:7">
      <c r="G486" s="21"/>
    </row>
    <row r="487" spans="7:7">
      <c r="G487" s="21"/>
    </row>
    <row r="488" spans="7:7">
      <c r="G488" s="21"/>
    </row>
    <row r="489" spans="7:7">
      <c r="G489" s="21"/>
    </row>
    <row r="490" spans="7:7">
      <c r="G490" s="21"/>
    </row>
    <row r="491" spans="7:7">
      <c r="G491" s="21"/>
    </row>
    <row r="492" spans="7:7">
      <c r="G492" s="21"/>
    </row>
    <row r="493" spans="7:7">
      <c r="G493" s="21"/>
    </row>
    <row r="494" spans="7:7">
      <c r="G494" s="21"/>
    </row>
    <row r="495" spans="7:7">
      <c r="G495" s="21"/>
    </row>
    <row r="496" spans="7:7">
      <c r="G496" s="21"/>
    </row>
    <row r="497" spans="7:7">
      <c r="G497" s="21"/>
    </row>
    <row r="498" spans="7:7">
      <c r="G498" s="21"/>
    </row>
    <row r="499" spans="7:7">
      <c r="G499" s="21"/>
    </row>
    <row r="500" spans="7:7">
      <c r="G500" s="21"/>
    </row>
    <row r="501" spans="7:7">
      <c r="G501" s="21"/>
    </row>
    <row r="502" spans="7:7">
      <c r="G502" s="21"/>
    </row>
    <row r="503" spans="7:7">
      <c r="G503" s="21"/>
    </row>
    <row r="504" spans="7:7">
      <c r="G504" s="21"/>
    </row>
    <row r="505" spans="7:7">
      <c r="G505" s="21"/>
    </row>
    <row r="506" spans="7:7">
      <c r="G506" s="21"/>
    </row>
    <row r="507" spans="7:7">
      <c r="G507" s="21"/>
    </row>
    <row r="508" spans="7:7">
      <c r="G508" s="21"/>
    </row>
    <row r="509" spans="7:7">
      <c r="G509" s="21"/>
    </row>
    <row r="510" spans="7:7">
      <c r="G510" s="21"/>
    </row>
    <row r="511" spans="7:7">
      <c r="G511" s="21"/>
    </row>
    <row r="512" spans="7:7">
      <c r="G512" s="21"/>
    </row>
    <row r="513" spans="7:7">
      <c r="G513" s="21"/>
    </row>
    <row r="514" spans="7:7">
      <c r="G514" s="21"/>
    </row>
    <row r="515" spans="7:7">
      <c r="G515" s="21"/>
    </row>
    <row r="516" spans="7:7">
      <c r="G516" s="21"/>
    </row>
    <row r="517" spans="7:7">
      <c r="G517" s="21"/>
    </row>
    <row r="518" spans="7:7">
      <c r="G518" s="21"/>
    </row>
    <row r="519" spans="7:7">
      <c r="G519" s="21"/>
    </row>
    <row r="520" spans="7:7">
      <c r="G520" s="21"/>
    </row>
    <row r="521" spans="7:7">
      <c r="G521" s="21"/>
    </row>
    <row r="522" spans="7:7">
      <c r="G522" s="21"/>
    </row>
    <row r="523" spans="7:7">
      <c r="G523" s="21"/>
    </row>
    <row r="524" spans="7:7">
      <c r="G524" s="21"/>
    </row>
    <row r="525" spans="7:7">
      <c r="G525" s="21"/>
    </row>
    <row r="526" spans="7:7">
      <c r="G526" s="21"/>
    </row>
    <row r="527" spans="7:7">
      <c r="G527" s="21"/>
    </row>
    <row r="528" spans="7:7">
      <c r="G528" s="21"/>
    </row>
    <row r="529" spans="7:7">
      <c r="G529" s="21"/>
    </row>
    <row r="530" spans="7:7">
      <c r="G530" s="21"/>
    </row>
    <row r="531" spans="7:7">
      <c r="G531" s="21"/>
    </row>
    <row r="532" spans="7:7">
      <c r="G532" s="21"/>
    </row>
    <row r="533" spans="7:7">
      <c r="G533" s="21"/>
    </row>
    <row r="534" spans="7:7">
      <c r="G534" s="21"/>
    </row>
    <row r="535" spans="7:7">
      <c r="G535" s="21"/>
    </row>
    <row r="536" spans="7:7">
      <c r="G536" s="21"/>
    </row>
    <row r="537" spans="7:7">
      <c r="G537" s="21"/>
    </row>
    <row r="538" spans="7:7">
      <c r="G538" s="21"/>
    </row>
    <row r="539" spans="7:7">
      <c r="G539" s="21"/>
    </row>
    <row r="540" spans="7:7">
      <c r="G540" s="21"/>
    </row>
    <row r="541" spans="7:7">
      <c r="G541" s="21"/>
    </row>
    <row r="542" spans="7:7">
      <c r="G542" s="21"/>
    </row>
    <row r="543" spans="7:7">
      <c r="G543" s="21"/>
    </row>
    <row r="544" spans="7:7">
      <c r="G544" s="21"/>
    </row>
    <row r="545" spans="7:7">
      <c r="G545" s="21"/>
    </row>
    <row r="546" spans="7:7">
      <c r="G546" s="21"/>
    </row>
    <row r="547" spans="7:7">
      <c r="G547" s="21"/>
    </row>
    <row r="548" spans="7:7">
      <c r="G548" s="21"/>
    </row>
    <row r="549" spans="7:7">
      <c r="G549" s="21"/>
    </row>
    <row r="550" spans="7:7">
      <c r="G550" s="21"/>
    </row>
    <row r="551" spans="7:7">
      <c r="G551" s="21"/>
    </row>
    <row r="552" spans="7:7">
      <c r="G552" s="21"/>
    </row>
    <row r="553" spans="7:7">
      <c r="G553" s="21"/>
    </row>
    <row r="554" spans="7:7">
      <c r="G554" s="21"/>
    </row>
    <row r="555" spans="7:7">
      <c r="G555" s="21"/>
    </row>
    <row r="556" spans="7:7">
      <c r="G556" s="21"/>
    </row>
    <row r="557" spans="7:7">
      <c r="G557" s="21"/>
    </row>
    <row r="558" spans="7:7">
      <c r="G558" s="21"/>
    </row>
    <row r="559" spans="7:7">
      <c r="G559" s="21"/>
    </row>
    <row r="560" spans="7:7">
      <c r="G560" s="21"/>
    </row>
    <row r="561" spans="7:7">
      <c r="G561" s="21"/>
    </row>
    <row r="562" spans="7:7">
      <c r="G562" s="21"/>
    </row>
    <row r="563" spans="7:7">
      <c r="G563" s="21"/>
    </row>
    <row r="564" spans="7:7">
      <c r="G564" s="21"/>
    </row>
    <row r="565" spans="7:7">
      <c r="G565" s="21"/>
    </row>
    <row r="566" spans="7:7">
      <c r="G566" s="21"/>
    </row>
    <row r="567" spans="7:7">
      <c r="G567" s="21"/>
    </row>
    <row r="568" spans="7:7">
      <c r="G568" s="21"/>
    </row>
    <row r="569" spans="7:7">
      <c r="G569" s="21"/>
    </row>
    <row r="570" spans="7:7">
      <c r="G570" s="21"/>
    </row>
    <row r="571" spans="7:7">
      <c r="G571" s="21"/>
    </row>
    <row r="572" spans="7:7">
      <c r="G572" s="21"/>
    </row>
    <row r="573" spans="7:7">
      <c r="G573" s="21"/>
    </row>
    <row r="574" spans="7:7">
      <c r="G574" s="21"/>
    </row>
    <row r="575" spans="7:7">
      <c r="G575" s="21"/>
    </row>
    <row r="576" spans="7:7">
      <c r="G576" s="21"/>
    </row>
    <row r="577" spans="7:7">
      <c r="G577" s="21"/>
    </row>
    <row r="578" spans="7:7">
      <c r="G578" s="21"/>
    </row>
    <row r="579" spans="7:7">
      <c r="G579" s="21"/>
    </row>
    <row r="580" spans="7:7">
      <c r="G580" s="21"/>
    </row>
    <row r="581" spans="7:7">
      <c r="G581" s="21"/>
    </row>
    <row r="582" spans="7:7">
      <c r="G582" s="21"/>
    </row>
    <row r="583" spans="7:7">
      <c r="G583" s="21"/>
    </row>
    <row r="584" spans="7:7">
      <c r="G584" s="21"/>
    </row>
    <row r="585" spans="7:7">
      <c r="G585" s="21"/>
    </row>
    <row r="586" spans="7:7">
      <c r="G586" s="21"/>
    </row>
    <row r="587" spans="7:7">
      <c r="G587" s="21"/>
    </row>
    <row r="588" spans="7:7">
      <c r="G588" s="21"/>
    </row>
    <row r="589" spans="7:7">
      <c r="G589" s="21"/>
    </row>
    <row r="590" spans="7:7">
      <c r="G590" s="21"/>
    </row>
    <row r="591" spans="7:7">
      <c r="G591" s="21"/>
    </row>
    <row r="592" spans="7:7">
      <c r="G592" s="21"/>
    </row>
    <row r="593" spans="7:7">
      <c r="G593" s="21"/>
    </row>
    <row r="594" spans="7:7">
      <c r="G594" s="21"/>
    </row>
    <row r="595" spans="7:7">
      <c r="G595" s="21"/>
    </row>
    <row r="596" spans="7:7">
      <c r="G596" s="21"/>
    </row>
    <row r="597" spans="7:7">
      <c r="G597" s="21"/>
    </row>
    <row r="598" spans="7:7">
      <c r="G598" s="21"/>
    </row>
    <row r="599" spans="7:7">
      <c r="G599" s="21"/>
    </row>
    <row r="600" spans="7:7">
      <c r="G600" s="21"/>
    </row>
  </sheetData>
  <mergeCells count="4">
    <mergeCell ref="A1:A3"/>
    <mergeCell ref="AR2:AT2"/>
    <mergeCell ref="A34:B34"/>
    <mergeCell ref="A39:B39"/>
  </mergeCells>
  <conditionalFormatting sqref="D3:AQ3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</conditionalFormatting>
  <conditionalFormatting sqref="AP4:AQ4">
    <cfRule type="cellIs" dxfId="95" priority="5" operator="equal">
      <formula>#REF!</formula>
    </cfRule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  <cfRule type="cellIs" dxfId="89" priority="11" operator="equal">
      <formula>#REF!</formula>
    </cfRule>
    <cfRule type="cellIs" dxfId="88" priority="12" operator="equal">
      <formula>#REF!</formula>
    </cfRule>
  </conditionalFormatting>
  <conditionalFormatting sqref="AR3:AT3"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  <cfRule type="cellIs" dxfId="84" priority="16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DBF7D-5F6A-438B-88E2-E4C5457A478F}">
  <sheetPr>
    <tabColor theme="6" tint="-0.249977111117893"/>
    <pageSetUpPr fitToPage="1"/>
  </sheetPr>
  <dimension ref="A1:H115"/>
  <sheetViews>
    <sheetView showGridLines="0" zoomScaleNormal="100" zoomScaleSheetLayoutView="90" workbookViewId="0">
      <selection activeCell="G21" sqref="G21"/>
    </sheetView>
  </sheetViews>
  <sheetFormatPr defaultColWidth="8.85546875" defaultRowHeight="23.25" customHeight="1"/>
  <cols>
    <col min="1" max="1" width="38.85546875" style="21" customWidth="1"/>
    <col min="2" max="2" width="25" style="21" customWidth="1"/>
    <col min="3" max="3" width="22.42578125" style="21" bestFit="1" customWidth="1"/>
    <col min="4" max="4" width="22.5703125" style="21" customWidth="1"/>
    <col min="5" max="5" width="20.28515625" style="21" customWidth="1"/>
    <col min="6" max="6" width="11.28515625" style="21" customWidth="1"/>
    <col min="7" max="7" width="34.7109375" style="21" customWidth="1"/>
    <col min="8" max="8" width="22.28515625" style="21" customWidth="1"/>
    <col min="9" max="9" width="12.85546875" style="21" customWidth="1"/>
    <col min="10" max="10" width="12.28515625" style="21" customWidth="1"/>
    <col min="11" max="11" width="20.140625" style="21" customWidth="1"/>
    <col min="12" max="15" width="8.85546875" style="21"/>
    <col min="16" max="16" width="20.28515625" style="21" customWidth="1"/>
    <col min="17" max="17" width="20.7109375" style="21" bestFit="1" customWidth="1"/>
    <col min="18" max="16384" width="8.85546875" style="21"/>
  </cols>
  <sheetData>
    <row r="1" spans="1:7" ht="23.25" customHeight="1" thickBot="1"/>
    <row r="2" spans="1:7" ht="15" customHeight="1" thickBot="1">
      <c r="A2" s="1255" t="s">
        <v>168</v>
      </c>
      <c r="B2" s="1256"/>
      <c r="C2" s="1256"/>
      <c r="D2" s="1260" t="str">
        <f>'Development Program'!B7</f>
        <v>Lower Cascade Apts</v>
      </c>
      <c r="E2" s="1261"/>
      <c r="F2" s="1031"/>
    </row>
    <row r="3" spans="1:7" ht="13.5" thickBot="1">
      <c r="A3" s="22"/>
      <c r="B3" s="23"/>
      <c r="C3" s="23"/>
      <c r="D3" s="1041">
        <v>0</v>
      </c>
      <c r="E3" s="1042" t="s">
        <v>169</v>
      </c>
      <c r="F3" s="1032"/>
    </row>
    <row r="4" spans="1:7" ht="28.5" customHeight="1">
      <c r="A4" s="1043" t="s">
        <v>170</v>
      </c>
      <c r="B4" s="1006" t="s">
        <v>171</v>
      </c>
      <c r="C4" s="1006" t="s">
        <v>299</v>
      </c>
      <c r="D4" s="1006" t="s">
        <v>173</v>
      </c>
      <c r="E4" s="1007" t="s">
        <v>174</v>
      </c>
      <c r="F4" s="1033"/>
    </row>
    <row r="5" spans="1:7" ht="12.75">
      <c r="A5" s="719" t="s">
        <v>445</v>
      </c>
      <c r="B5" s="1044"/>
      <c r="C5" s="1045"/>
      <c r="D5" s="1044"/>
      <c r="E5" s="1046"/>
      <c r="F5" s="1034"/>
    </row>
    <row r="6" spans="1:7" ht="12.75">
      <c r="A6" s="720">
        <f>B6/B17</f>
        <v>0.21824104234527689</v>
      </c>
      <c r="B6" s="721">
        <v>134</v>
      </c>
      <c r="C6" s="722">
        <v>500</v>
      </c>
      <c r="D6" s="723">
        <v>4.55</v>
      </c>
      <c r="E6" s="1047">
        <f>12*B6*C6*D6</f>
        <v>3658200</v>
      </c>
      <c r="F6" s="1035"/>
      <c r="G6" s="642"/>
    </row>
    <row r="7" spans="1:7" ht="12.75">
      <c r="A7" s="724">
        <f>B7/B17</f>
        <v>0.46742671009771986</v>
      </c>
      <c r="B7" s="721">
        <v>287</v>
      </c>
      <c r="C7" s="722">
        <v>700</v>
      </c>
      <c r="D7" s="723">
        <v>4.1500000000000004</v>
      </c>
      <c r="E7" s="1047">
        <f t="shared" ref="E7:E9" si="0">12*B7*C7*D7</f>
        <v>10004820</v>
      </c>
      <c r="F7" s="1035"/>
      <c r="G7" s="642"/>
    </row>
    <row r="8" spans="1:7" ht="12.75">
      <c r="A8" s="725">
        <f>B8/B17</f>
        <v>0.10912052117263844</v>
      </c>
      <c r="B8" s="721">
        <v>67</v>
      </c>
      <c r="C8" s="722">
        <v>1000</v>
      </c>
      <c r="D8" s="723">
        <v>3.8</v>
      </c>
      <c r="E8" s="1047">
        <f t="shared" si="0"/>
        <v>3055200</v>
      </c>
      <c r="F8" s="1035"/>
      <c r="G8" s="642"/>
    </row>
    <row r="9" spans="1:7" ht="12.75">
      <c r="A9" s="726">
        <f>B9/B17</f>
        <v>5.3745928338762218E-2</v>
      </c>
      <c r="B9" s="721">
        <v>33</v>
      </c>
      <c r="C9" s="722">
        <v>1200</v>
      </c>
      <c r="D9" s="723">
        <v>3.6</v>
      </c>
      <c r="E9" s="1047">
        <f t="shared" si="0"/>
        <v>1710720</v>
      </c>
      <c r="F9" s="1035"/>
      <c r="G9" s="642"/>
    </row>
    <row r="10" spans="1:7" ht="12.75">
      <c r="A10" s="727" t="s">
        <v>446</v>
      </c>
      <c r="B10" s="728">
        <f>SUM(B6:B9)</f>
        <v>521</v>
      </c>
      <c r="C10" s="729">
        <f>+SUMPRODUCT(C6:C9,B6:B9)/B10</f>
        <v>718.80998080614199</v>
      </c>
      <c r="D10" s="730">
        <f>+SUM(E6:E9)/(C10*B10)/12</f>
        <v>4.1007877169559412</v>
      </c>
      <c r="E10" s="1048">
        <f>SUM(E6:E9)</f>
        <v>18428940</v>
      </c>
      <c r="F10" s="1036"/>
    </row>
    <row r="11" spans="1:7" ht="12.75">
      <c r="A11" s="731" t="s">
        <v>453</v>
      </c>
      <c r="B11" s="1049"/>
      <c r="C11" s="1045"/>
      <c r="D11" s="1044"/>
      <c r="E11" s="1050"/>
      <c r="F11" s="1037"/>
    </row>
    <row r="12" spans="1:7" ht="12.75">
      <c r="A12" s="720">
        <f>B12/B17</f>
        <v>3.9087947882736153E-2</v>
      </c>
      <c r="B12" s="732">
        <v>24</v>
      </c>
      <c r="C12" s="733">
        <v>500</v>
      </c>
      <c r="D12" s="734">
        <v>2.25</v>
      </c>
      <c r="E12" s="1051">
        <f t="shared" ref="E12:E15" si="1">12*B12*C12*D12</f>
        <v>324000</v>
      </c>
      <c r="F12" s="1035"/>
      <c r="G12" s="642"/>
    </row>
    <row r="13" spans="1:7" ht="12.75">
      <c r="A13" s="724">
        <f>B13/B17</f>
        <v>8.3061889250814328E-2</v>
      </c>
      <c r="B13" s="732">
        <v>51</v>
      </c>
      <c r="C13" s="733">
        <v>700</v>
      </c>
      <c r="D13" s="734">
        <v>2.65</v>
      </c>
      <c r="E13" s="1051">
        <f t="shared" si="1"/>
        <v>1135260</v>
      </c>
      <c r="F13" s="1035"/>
      <c r="G13" s="642"/>
    </row>
    <row r="14" spans="1:7" ht="12.75">
      <c r="A14" s="725">
        <f>B14/B17</f>
        <v>1.9543973941368076E-2</v>
      </c>
      <c r="B14" s="732">
        <v>12</v>
      </c>
      <c r="C14" s="733">
        <v>1000</v>
      </c>
      <c r="D14" s="734">
        <v>2.85</v>
      </c>
      <c r="E14" s="1051">
        <f t="shared" si="1"/>
        <v>410400</v>
      </c>
      <c r="F14" s="1035"/>
      <c r="G14" s="642"/>
    </row>
    <row r="15" spans="1:7" ht="21" customHeight="1">
      <c r="A15" s="726">
        <f>B15/B17</f>
        <v>9.7719869706840382E-3</v>
      </c>
      <c r="B15" s="732">
        <v>6</v>
      </c>
      <c r="C15" s="733">
        <v>1200</v>
      </c>
      <c r="D15" s="734">
        <v>2.66</v>
      </c>
      <c r="E15" s="1051">
        <f t="shared" si="1"/>
        <v>229824</v>
      </c>
      <c r="F15" s="1035"/>
      <c r="G15" s="642"/>
    </row>
    <row r="16" spans="1:7" ht="13.5" thickBot="1">
      <c r="A16" s="727" t="s">
        <v>448</v>
      </c>
      <c r="B16" s="728">
        <f>SUM(B12:B15)</f>
        <v>93</v>
      </c>
      <c r="C16" s="729">
        <f>SUMPRODUCT(C12:C15,B12:B15)/B16</f>
        <v>719.35483870967744</v>
      </c>
      <c r="D16" s="730">
        <f>+SUM(E12:E15)/(C16*B16)/12</f>
        <v>2.6152017937219729</v>
      </c>
      <c r="E16" s="1048">
        <f>SUM(E12:E15)</f>
        <v>2099484</v>
      </c>
      <c r="F16" s="1036"/>
    </row>
    <row r="17" spans="1:7" ht="14.25" thickTop="1" thickBot="1">
      <c r="A17" s="27" t="s">
        <v>449</v>
      </c>
      <c r="B17" s="28">
        <f>+B10+B16</f>
        <v>614</v>
      </c>
      <c r="C17" s="29">
        <f>B6*C6+B7*C7+B8*C8+B9*C9+B15*C15+B12*C12+B13*C13+B14*C14</f>
        <v>441400</v>
      </c>
      <c r="D17" s="30"/>
      <c r="E17" s="1052">
        <f>E10+E16</f>
        <v>20528424</v>
      </c>
      <c r="F17" s="1038"/>
    </row>
    <row r="18" spans="1:7" ht="14.25" thickTop="1" thickBot="1">
      <c r="A18" s="31" t="s">
        <v>177</v>
      </c>
      <c r="B18" s="32"/>
      <c r="C18" s="33">
        <f>C10</f>
        <v>718.80998080614199</v>
      </c>
      <c r="D18" s="34">
        <f>E17/C17/12</f>
        <v>3.8756275487086547</v>
      </c>
      <c r="E18" s="861"/>
      <c r="F18" s="49"/>
    </row>
    <row r="19" spans="1:7" ht="12.75"/>
    <row r="20" spans="1:7" ht="12.75">
      <c r="A20" s="24" t="s">
        <v>178</v>
      </c>
      <c r="B20" s="25" t="s">
        <v>179</v>
      </c>
      <c r="C20" s="878" t="s">
        <v>180</v>
      </c>
      <c r="D20" s="878" t="s">
        <v>174</v>
      </c>
    </row>
    <row r="21" spans="1:7" ht="13.5" thickBot="1">
      <c r="A21" s="736" t="s">
        <v>450</v>
      </c>
      <c r="B21" s="875">
        <v>86000</v>
      </c>
      <c r="C21" s="868">
        <v>20</v>
      </c>
      <c r="D21" s="291">
        <f>B21*C21</f>
        <v>1720000</v>
      </c>
    </row>
    <row r="22" spans="1:7" ht="13.5" thickBot="1">
      <c r="A22" s="739" t="s">
        <v>181</v>
      </c>
      <c r="B22" s="876">
        <f>SUM(B21:B21)</f>
        <v>86000</v>
      </c>
      <c r="C22" s="868">
        <f>IF(B22=0,0,D22/B22)</f>
        <v>20</v>
      </c>
      <c r="D22" s="291">
        <f>SUM(D21:D21)</f>
        <v>1720000</v>
      </c>
      <c r="E22" s="44"/>
      <c r="F22" s="44"/>
    </row>
    <row r="23" spans="1:7" ht="15" customHeight="1">
      <c r="A23" s="748" t="s">
        <v>182</v>
      </c>
      <c r="B23" s="877"/>
      <c r="C23" s="45"/>
      <c r="D23" s="46"/>
      <c r="E23" s="740"/>
      <c r="F23" s="1039"/>
    </row>
    <row r="24" spans="1:7" ht="12.75">
      <c r="A24" s="256" t="s">
        <v>183</v>
      </c>
      <c r="B24" s="298">
        <f>B17</f>
        <v>614</v>
      </c>
      <c r="C24" s="45"/>
      <c r="D24" s="46"/>
    </row>
    <row r="25" spans="1:7" ht="13.5" thickBot="1">
      <c r="A25" s="263" t="s">
        <v>184</v>
      </c>
      <c r="B25" s="1053">
        <f>B21/1000</f>
        <v>86</v>
      </c>
      <c r="C25" s="45"/>
      <c r="D25" s="46"/>
    </row>
    <row r="26" spans="1:7" ht="14.25" thickTop="1" thickBot="1">
      <c r="A26" s="47" t="s">
        <v>185</v>
      </c>
      <c r="B26" s="48">
        <f>SUM(B24:B25)</f>
        <v>700</v>
      </c>
      <c r="C26" s="49"/>
      <c r="D26" s="49"/>
      <c r="E26" s="49"/>
      <c r="F26" s="49"/>
      <c r="G26" s="642"/>
    </row>
    <row r="27" spans="1:7" ht="12.75">
      <c r="A27" s="301" t="s">
        <v>187</v>
      </c>
      <c r="B27" s="302">
        <v>57600</v>
      </c>
      <c r="C27" s="50"/>
      <c r="D27" s="51"/>
      <c r="E27" s="49"/>
      <c r="F27" s="49"/>
    </row>
    <row r="28" spans="1:7" ht="12.75">
      <c r="A28" s="301" t="s">
        <v>188</v>
      </c>
      <c r="B28" s="302">
        <f>C17+B22</f>
        <v>527400</v>
      </c>
      <c r="C28" s="50"/>
      <c r="D28" s="51"/>
      <c r="E28" s="49"/>
      <c r="F28" s="49"/>
      <c r="G28" s="642"/>
    </row>
    <row r="29" spans="1:7" ht="12.75">
      <c r="A29" s="303">
        <f>Assumptions!D28</f>
        <v>400</v>
      </c>
      <c r="B29" s="302">
        <f>400*B26</f>
        <v>280000</v>
      </c>
      <c r="C29" s="50"/>
      <c r="D29" s="51"/>
      <c r="E29" s="49"/>
      <c r="F29" s="49"/>
      <c r="G29" s="642"/>
    </row>
    <row r="30" spans="1:7" ht="12.75">
      <c r="A30" s="431">
        <v>0.2</v>
      </c>
      <c r="B30" s="302">
        <f>(1+A30)*(B28+B29)</f>
        <v>968880</v>
      </c>
      <c r="C30" s="50"/>
      <c r="D30" s="51"/>
      <c r="E30" s="49"/>
      <c r="F30" s="49"/>
      <c r="G30" s="642"/>
    </row>
    <row r="31" spans="1:7" ht="13.5" thickBot="1">
      <c r="A31" s="432">
        <v>10</v>
      </c>
      <c r="B31" s="306">
        <f>B30/A31</f>
        <v>96888</v>
      </c>
      <c r="C31" s="50"/>
      <c r="D31" s="51"/>
      <c r="E31" s="49"/>
      <c r="F31" s="49"/>
      <c r="G31" s="642"/>
    </row>
    <row r="32" spans="1:7" ht="15" customHeight="1" thickBot="1">
      <c r="A32" s="1306" t="s">
        <v>189</v>
      </c>
      <c r="B32" s="1307"/>
      <c r="C32" s="1304" t="str">
        <f>'Development Program'!B26</f>
        <v>Lower Cascade Apts</v>
      </c>
      <c r="D32" s="1305"/>
      <c r="E32" s="49"/>
      <c r="F32" s="49"/>
    </row>
    <row r="33" spans="1:7" ht="14.45" customHeight="1" thickBot="1">
      <c r="A33" s="769" t="s">
        <v>190</v>
      </c>
      <c r="B33" s="1006" t="s">
        <v>191</v>
      </c>
      <c r="C33" s="1006" t="s">
        <v>192</v>
      </c>
      <c r="D33" s="1007" t="s">
        <v>193</v>
      </c>
      <c r="E33" s="49"/>
      <c r="F33" s="49"/>
    </row>
    <row r="34" spans="1:7" ht="12.75">
      <c r="A34" s="1054" t="s">
        <v>194</v>
      </c>
      <c r="B34" s="331">
        <f>D34/B17</f>
        <v>33433.915309446253</v>
      </c>
      <c r="C34" s="1057">
        <f>D34/C17</f>
        <v>46.507530584503854</v>
      </c>
      <c r="D34" s="1060">
        <f>E17</f>
        <v>20528424</v>
      </c>
      <c r="E34" s="49"/>
      <c r="F34" s="49"/>
    </row>
    <row r="35" spans="1:7" ht="12.75">
      <c r="A35" s="1055">
        <f>B22</f>
        <v>86000</v>
      </c>
      <c r="B35" s="1303"/>
      <c r="C35" s="1303"/>
      <c r="D35" s="1060">
        <f>A35*C22</f>
        <v>1720000</v>
      </c>
      <c r="E35" s="49"/>
      <c r="F35" s="49"/>
    </row>
    <row r="36" spans="1:7" ht="12.75">
      <c r="A36" s="1061"/>
      <c r="B36" s="1312" t="s">
        <v>196</v>
      </c>
      <c r="C36" s="1312"/>
      <c r="D36" s="1060">
        <f>SUM(D34:D35)</f>
        <v>22248424</v>
      </c>
      <c r="E36" s="49"/>
      <c r="F36" s="49"/>
    </row>
    <row r="37" spans="1:7" ht="12.75">
      <c r="A37" s="1062" t="s">
        <v>197</v>
      </c>
      <c r="B37" s="1058" t="s">
        <v>198</v>
      </c>
      <c r="C37" s="1058" t="s">
        <v>199</v>
      </c>
      <c r="D37" s="1060"/>
      <c r="E37" s="49"/>
      <c r="F37" s="49"/>
    </row>
    <row r="38" spans="1:7" ht="12.75">
      <c r="A38" s="1061" t="s">
        <v>278</v>
      </c>
      <c r="B38" s="331">
        <f>Assumptions!D34</f>
        <v>350</v>
      </c>
      <c r="C38" s="1059">
        <f>12*B38/Assumptions!D28</f>
        <v>10.5</v>
      </c>
      <c r="D38" s="1060">
        <f>B26*B38*12</f>
        <v>2940000</v>
      </c>
      <c r="E38" s="49"/>
      <c r="F38" s="49"/>
    </row>
    <row r="39" spans="1:7" ht="12.75">
      <c r="A39" s="1061" t="s">
        <v>201</v>
      </c>
      <c r="B39" s="331">
        <f>D39/B17</f>
        <v>196.09120521172642</v>
      </c>
      <c r="C39" s="1059">
        <f>D39/C21</f>
        <v>6020.0000000000009</v>
      </c>
      <c r="D39" s="1060">
        <f>Assumptions!I14*'Lower Cascade Financial'!D35</f>
        <v>120400.00000000001</v>
      </c>
      <c r="E39" s="49"/>
      <c r="F39" s="49"/>
    </row>
    <row r="40" spans="1:7" ht="13.5" thickBot="1">
      <c r="A40" s="1056" t="s">
        <v>202</v>
      </c>
      <c r="B40" s="1313"/>
      <c r="C40" s="1313"/>
      <c r="D40" s="1063">
        <f>SUM(D38:D39)</f>
        <v>3060400</v>
      </c>
      <c r="E40" s="49"/>
      <c r="F40" s="49"/>
    </row>
    <row r="41" spans="1:7" ht="14.25" thickTop="1" thickBot="1">
      <c r="A41" s="56">
        <v>0.05</v>
      </c>
      <c r="B41" s="1294"/>
      <c r="C41" s="1295"/>
      <c r="D41" s="57">
        <f>-A41*D36</f>
        <v>-1112421.2</v>
      </c>
      <c r="E41" s="49"/>
      <c r="F41" s="49"/>
    </row>
    <row r="42" spans="1:7" ht="14.25" thickTop="1" thickBot="1">
      <c r="A42" s="319" t="s">
        <v>203</v>
      </c>
      <c r="B42" s="58">
        <f>D42/B17</f>
        <v>39407.822149837135</v>
      </c>
      <c r="C42" s="320">
        <f>D42/C17</f>
        <v>54.81740552786588</v>
      </c>
      <c r="D42" s="59">
        <f>D36+D40+D41</f>
        <v>24196402.800000001</v>
      </c>
      <c r="E42" s="49"/>
      <c r="F42" s="49"/>
    </row>
    <row r="43" spans="1:7" ht="12.75">
      <c r="A43" s="24" t="s">
        <v>204</v>
      </c>
      <c r="B43" s="25" t="s">
        <v>191</v>
      </c>
      <c r="C43" s="25" t="s">
        <v>205</v>
      </c>
      <c r="D43" s="60" t="s">
        <v>193</v>
      </c>
      <c r="E43" s="49"/>
      <c r="F43" s="49"/>
    </row>
    <row r="44" spans="1:7" ht="13.5" thickBot="1">
      <c r="A44" s="1064" t="s">
        <v>206</v>
      </c>
      <c r="B44" s="62">
        <f>D44/B17</f>
        <v>-14494.087296416938</v>
      </c>
      <c r="C44" s="62">
        <f>D44/C17</f>
        <v>-20.161689170820118</v>
      </c>
      <c r="D44" s="1065">
        <f>-0.4*D36</f>
        <v>-8899369.5999999996</v>
      </c>
      <c r="E44" s="49"/>
      <c r="F44" s="49"/>
    </row>
    <row r="45" spans="1:7" ht="13.5" thickBot="1">
      <c r="A45" s="774" t="s">
        <v>207</v>
      </c>
      <c r="B45" s="775">
        <f>D45/B17</f>
        <v>24913.734853420196</v>
      </c>
      <c r="C45" s="776"/>
      <c r="D45" s="1066">
        <f>D42+D44</f>
        <v>15297033.200000001</v>
      </c>
      <c r="E45" s="49"/>
      <c r="F45" s="49"/>
    </row>
    <row r="46" spans="1:7" ht="13.5" thickBot="1">
      <c r="A46" s="324" t="s">
        <v>208</v>
      </c>
      <c r="B46" s="63" t="s">
        <v>209</v>
      </c>
      <c r="C46" s="64">
        <v>4.7500000000000001E-2</v>
      </c>
      <c r="D46" s="879">
        <f>D45/C46</f>
        <v>322042804.21052635</v>
      </c>
      <c r="E46" s="1311" t="s">
        <v>472</v>
      </c>
      <c r="F46" s="1311"/>
      <c r="G46" s="1311"/>
    </row>
    <row r="47" spans="1:7" ht="13.5" thickBot="1">
      <c r="A47" s="1266" t="s">
        <v>210</v>
      </c>
      <c r="B47" s="1267"/>
      <c r="C47" s="1308" t="str">
        <f>'Development Program'!B26</f>
        <v>Lower Cascade Apts</v>
      </c>
      <c r="D47" s="1269"/>
    </row>
    <row r="48" spans="1:7" ht="13.5" thickBot="1">
      <c r="A48" s="968"/>
      <c r="B48" s="65" t="s">
        <v>211</v>
      </c>
      <c r="C48" s="65" t="s">
        <v>212</v>
      </c>
      <c r="D48" s="65" t="s">
        <v>191</v>
      </c>
    </row>
    <row r="49" spans="1:7" ht="12.75">
      <c r="A49" s="1191" t="s">
        <v>213</v>
      </c>
      <c r="B49" s="794">
        <f>Assumptions!I26</f>
        <v>248</v>
      </c>
      <c r="C49" s="1067">
        <f>B49*(C17+B22)</f>
        <v>130795200</v>
      </c>
      <c r="D49" s="317">
        <f>C49/B$17</f>
        <v>213021.4983713355</v>
      </c>
      <c r="E49" s="854"/>
      <c r="F49" s="854"/>
    </row>
    <row r="50" spans="1:7" ht="12.75">
      <c r="A50" s="625" t="s">
        <v>214</v>
      </c>
      <c r="B50" s="795">
        <f>Assumptions!D30</f>
        <v>36000</v>
      </c>
      <c r="C50" s="1068">
        <f>B50*B26</f>
        <v>25200000</v>
      </c>
      <c r="D50" s="317">
        <f t="shared" ref="D50:D71" si="2">C50/B$17</f>
        <v>41042.345276872962</v>
      </c>
    </row>
    <row r="51" spans="1:7" ht="12.75">
      <c r="A51" s="625" t="s">
        <v>59</v>
      </c>
      <c r="B51" s="796">
        <v>0.1</v>
      </c>
      <c r="C51" s="1068">
        <f>B51*C49</f>
        <v>13079520</v>
      </c>
      <c r="D51" s="317">
        <f t="shared" si="2"/>
        <v>21302.149837133551</v>
      </c>
    </row>
    <row r="52" spans="1:7" ht="12.75">
      <c r="A52" s="625" t="s">
        <v>11</v>
      </c>
      <c r="B52" s="1069">
        <v>4</v>
      </c>
      <c r="C52" s="332">
        <f>B52*224857</f>
        <v>899428</v>
      </c>
      <c r="D52" s="317">
        <f t="shared" si="2"/>
        <v>1464.8664495114006</v>
      </c>
    </row>
    <row r="53" spans="1:7" ht="12.75">
      <c r="A53" s="625" t="s">
        <v>215</v>
      </c>
      <c r="B53" s="1076" t="s">
        <v>216</v>
      </c>
      <c r="C53" s="1068">
        <f>'Market Research'!U7</f>
        <v>48900000</v>
      </c>
      <c r="D53" s="317">
        <f t="shared" si="2"/>
        <v>79641.693811074918</v>
      </c>
    </row>
    <row r="54" spans="1:7" ht="12.75">
      <c r="A54" s="625" t="s">
        <v>62</v>
      </c>
      <c r="B54" s="801">
        <v>1500</v>
      </c>
      <c r="C54" s="1068">
        <f>B54*B17</f>
        <v>921000</v>
      </c>
      <c r="D54" s="317">
        <f t="shared" si="2"/>
        <v>1500</v>
      </c>
    </row>
    <row r="55" spans="1:7" ht="12.75">
      <c r="A55" s="625" t="s">
        <v>217</v>
      </c>
      <c r="B55" s="802" t="s">
        <v>218</v>
      </c>
      <c r="C55" s="1068">
        <f>'Development Program'!E20</f>
        <v>4000000</v>
      </c>
      <c r="D55" s="317">
        <f t="shared" si="2"/>
        <v>6514.6579804560261</v>
      </c>
    </row>
    <row r="56" spans="1:7" ht="12.75">
      <c r="A56" s="1192" t="s">
        <v>66</v>
      </c>
      <c r="B56" s="1077" t="s">
        <v>67</v>
      </c>
      <c r="C56" s="332">
        <v>400000</v>
      </c>
      <c r="D56" s="317">
        <f t="shared" si="2"/>
        <v>651.46579804560258</v>
      </c>
    </row>
    <row r="57" spans="1:7" ht="12.75">
      <c r="A57" s="1192" t="s">
        <v>68</v>
      </c>
      <c r="B57" s="803">
        <v>0.01</v>
      </c>
      <c r="C57" s="332">
        <f>B57*C53</f>
        <v>489000</v>
      </c>
      <c r="D57" s="317">
        <f t="shared" si="2"/>
        <v>796.41693811074913</v>
      </c>
      <c r="E57" s="68"/>
      <c r="F57" s="1040"/>
    </row>
    <row r="58" spans="1:7" ht="12.75">
      <c r="A58" s="1192" t="s">
        <v>69</v>
      </c>
      <c r="B58" s="798">
        <v>0.03</v>
      </c>
      <c r="C58" s="332">
        <f>B58*(C49+C50)</f>
        <v>4679856</v>
      </c>
      <c r="D58" s="317">
        <f t="shared" si="2"/>
        <v>7621.9153094462545</v>
      </c>
    </row>
    <row r="59" spans="1:7" ht="12.75">
      <c r="A59" s="1192" t="s">
        <v>71</v>
      </c>
      <c r="B59" s="804">
        <v>0.03</v>
      </c>
      <c r="C59" s="332">
        <f>B59*SUM(C49:C58)</f>
        <v>6880920.1200000001</v>
      </c>
      <c r="D59" s="317">
        <f t="shared" si="2"/>
        <v>11206.710293159609</v>
      </c>
    </row>
    <row r="60" spans="1:7" ht="12.75">
      <c r="A60" s="1192" t="s">
        <v>73</v>
      </c>
      <c r="B60" s="798">
        <v>0.02</v>
      </c>
      <c r="C60" s="332">
        <f>B60*(C49+C50)</f>
        <v>3119904</v>
      </c>
      <c r="D60" s="317">
        <f t="shared" si="2"/>
        <v>5081.2768729641693</v>
      </c>
    </row>
    <row r="61" spans="1:7" ht="12.75">
      <c r="A61" s="1192" t="s">
        <v>219</v>
      </c>
      <c r="B61" s="798" t="s">
        <v>444</v>
      </c>
      <c r="C61" s="332">
        <f>0.00883*3*C53</f>
        <v>1295361</v>
      </c>
      <c r="D61" s="317">
        <f t="shared" si="2"/>
        <v>2109.7084690553747</v>
      </c>
    </row>
    <row r="62" spans="1:7" ht="12.75">
      <c r="A62" s="1192" t="s">
        <v>77</v>
      </c>
      <c r="B62" s="1069">
        <v>1.5</v>
      </c>
      <c r="C62" s="332">
        <f>B62*(C17+B21)</f>
        <v>791100</v>
      </c>
      <c r="D62" s="317">
        <f t="shared" si="2"/>
        <v>1288.4364820846906</v>
      </c>
    </row>
    <row r="63" spans="1:7" ht="12.75">
      <c r="A63" s="1192" t="s">
        <v>79</v>
      </c>
      <c r="B63" s="1069">
        <v>1</v>
      </c>
      <c r="C63" s="332">
        <f>B63*(C17+B21)</f>
        <v>527400</v>
      </c>
      <c r="D63" s="317">
        <f t="shared" si="2"/>
        <v>858.95765472312701</v>
      </c>
      <c r="E63" s="1309"/>
      <c r="F63" s="1310"/>
      <c r="G63" s="1310"/>
    </row>
    <row r="64" spans="1:7" ht="12.75">
      <c r="A64" s="1192" t="s">
        <v>80</v>
      </c>
      <c r="B64" s="799">
        <v>6</v>
      </c>
      <c r="C64" s="332">
        <f>-B64*D44/12</f>
        <v>4449684.8</v>
      </c>
      <c r="D64" s="317">
        <f t="shared" si="2"/>
        <v>7247.0436482084688</v>
      </c>
      <c r="E64" s="812"/>
      <c r="F64" s="812"/>
      <c r="G64" s="812"/>
    </row>
    <row r="65" spans="1:8" ht="12.75">
      <c r="A65" s="1192" t="s">
        <v>296</v>
      </c>
      <c r="B65" s="799" t="s">
        <v>477</v>
      </c>
      <c r="C65" s="332">
        <f>0.15*C69</f>
        <v>1728153</v>
      </c>
      <c r="D65" s="317">
        <f t="shared" si="2"/>
        <v>2814.5814332247555</v>
      </c>
      <c r="E65" s="74"/>
      <c r="F65" s="74"/>
    </row>
    <row r="66" spans="1:8" ht="12.75">
      <c r="A66" s="1192" t="s">
        <v>220</v>
      </c>
      <c r="B66" s="1073">
        <v>75</v>
      </c>
      <c r="C66" s="332">
        <f>B17*B66</f>
        <v>46050</v>
      </c>
      <c r="D66" s="317">
        <f t="shared" si="2"/>
        <v>75</v>
      </c>
    </row>
    <row r="67" spans="1:8" ht="12.75">
      <c r="A67" s="1192" t="s">
        <v>221</v>
      </c>
      <c r="B67" s="805">
        <v>0.06</v>
      </c>
      <c r="C67" s="332">
        <f>B67*5*D22</f>
        <v>516000</v>
      </c>
      <c r="D67" s="317">
        <f t="shared" si="2"/>
        <v>840.3908794788274</v>
      </c>
    </row>
    <row r="68" spans="1:8" ht="12.75">
      <c r="A68" s="1192" t="s">
        <v>83</v>
      </c>
      <c r="B68" s="806">
        <v>1.4999999999999999E-2</v>
      </c>
      <c r="C68" s="332">
        <v>2400045</v>
      </c>
      <c r="D68" s="317">
        <f t="shared" si="2"/>
        <v>3908.8680781758958</v>
      </c>
      <c r="E68" s="1264" t="s">
        <v>280</v>
      </c>
      <c r="F68" s="1265"/>
      <c r="G68" s="1265"/>
      <c r="H68" s="70">
        <f>B68*B81</f>
        <v>2384399.5376399998</v>
      </c>
    </row>
    <row r="69" spans="1:8" ht="12.75">
      <c r="A69" s="1193" t="s">
        <v>84</v>
      </c>
      <c r="B69" s="1074">
        <v>7.0000000000000007E-2</v>
      </c>
      <c r="C69" s="332">
        <v>11521020</v>
      </c>
      <c r="D69" s="317">
        <f t="shared" si="2"/>
        <v>18763.876221498373</v>
      </c>
      <c r="E69" s="1264" t="s">
        <v>280</v>
      </c>
      <c r="F69" s="1265"/>
      <c r="G69" s="1265"/>
      <c r="H69" s="71">
        <f>B69*B81</f>
        <v>11127197.842320001</v>
      </c>
    </row>
    <row r="70" spans="1:8" ht="13.5" thickBot="1">
      <c r="A70" s="1195" t="s">
        <v>223</v>
      </c>
      <c r="B70" s="1075" t="s">
        <v>442</v>
      </c>
      <c r="C70" s="332">
        <f>C59/3</f>
        <v>2293640.04</v>
      </c>
      <c r="D70" s="317">
        <f t="shared" si="2"/>
        <v>3735.5700977198699</v>
      </c>
    </row>
    <row r="71" spans="1:8" ht="14.25" thickTop="1" thickBot="1">
      <c r="A71" s="337" t="s">
        <v>224</v>
      </c>
      <c r="B71" s="338"/>
      <c r="C71" s="72">
        <f>SUM(C49:C70)</f>
        <v>264933281.96000001</v>
      </c>
      <c r="D71" s="1078">
        <f t="shared" si="2"/>
        <v>431487.42990228016</v>
      </c>
    </row>
    <row r="72" spans="1:8" ht="12.75">
      <c r="A72" s="339" t="s">
        <v>225</v>
      </c>
      <c r="B72" s="340">
        <f>D45/C71</f>
        <v>5.7739190360800226E-2</v>
      </c>
    </row>
    <row r="73" spans="1:8" ht="12.75">
      <c r="A73" s="341" t="s">
        <v>226</v>
      </c>
      <c r="B73" s="342">
        <f>(D46/C71)-1</f>
        <v>0.21556190233263628</v>
      </c>
      <c r="C73" s="73"/>
      <c r="D73" s="74"/>
    </row>
    <row r="74" spans="1:8" ht="13.5" thickBot="1">
      <c r="A74" s="343">
        <v>0.3</v>
      </c>
      <c r="B74" s="344">
        <f>(D46/(1+A74))</f>
        <v>247725234.00809717</v>
      </c>
    </row>
    <row r="75" spans="1:8" ht="13.5" thickBot="1">
      <c r="A75" s="446">
        <v>0.3</v>
      </c>
      <c r="B75" s="344">
        <f>ROUND((D46/(1+A75))-C71,-3)</f>
        <v>-17208000</v>
      </c>
      <c r="C75" s="75" t="s">
        <v>227</v>
      </c>
    </row>
    <row r="76" spans="1:8" ht="13.5" thickBot="1">
      <c r="A76" s="76"/>
      <c r="B76" s="77"/>
    </row>
    <row r="77" spans="1:8" ht="15" customHeight="1" thickBot="1">
      <c r="A77" s="1314" t="s">
        <v>228</v>
      </c>
      <c r="B77" s="1315"/>
      <c r="C77" s="447" t="str">
        <f>'Development Program'!B26</f>
        <v>Lower Cascade Apts</v>
      </c>
    </row>
    <row r="78" spans="1:8" ht="13.5" thickBot="1">
      <c r="A78" s="347"/>
      <c r="B78" s="348" t="s">
        <v>229</v>
      </c>
      <c r="C78" s="349" t="s">
        <v>191</v>
      </c>
    </row>
    <row r="79" spans="1:8" ht="12.75">
      <c r="A79" s="78" t="s">
        <v>230</v>
      </c>
      <c r="B79" s="79">
        <f>IF(B75&lt;0,B75,0)</f>
        <v>-17208000</v>
      </c>
      <c r="C79" s="288">
        <f>B79/B17</f>
        <v>-28026.058631921824</v>
      </c>
    </row>
    <row r="80" spans="1:8" ht="12.75">
      <c r="A80" s="80" t="s">
        <v>231</v>
      </c>
      <c r="B80" s="79">
        <f>C71+B79</f>
        <v>247725281.96000001</v>
      </c>
      <c r="C80" s="288">
        <f>B80/B17</f>
        <v>403461.37127035833</v>
      </c>
    </row>
    <row r="81" spans="1:6" ht="12.75">
      <c r="A81" s="448">
        <f>Assumptions!K17</f>
        <v>0.6</v>
      </c>
      <c r="B81" s="329">
        <f>A81*C71</f>
        <v>158959969.176</v>
      </c>
      <c r="C81" s="288">
        <f>B81/B17</f>
        <v>258892.45794136808</v>
      </c>
    </row>
    <row r="82" spans="1:6" ht="13.5" thickBot="1">
      <c r="A82" s="351">
        <f>1-A81</f>
        <v>0.4</v>
      </c>
      <c r="B82" s="336">
        <f>A82*C71</f>
        <v>105973312.78400001</v>
      </c>
      <c r="C82" s="288">
        <f>B82/B17</f>
        <v>172594.97196091208</v>
      </c>
      <c r="D82" s="74"/>
    </row>
    <row r="83" spans="1:6" ht="13.5" thickTop="1">
      <c r="A83" s="126" t="s">
        <v>232</v>
      </c>
      <c r="B83" s="709">
        <f>B81+B82</f>
        <v>264933281.96000001</v>
      </c>
      <c r="C83" s="288">
        <f>B83/B17</f>
        <v>431487.42990228016</v>
      </c>
    </row>
    <row r="84" spans="1:6" ht="13.5" thickBot="1">
      <c r="A84" s="354"/>
      <c r="B84" s="212"/>
      <c r="C84" s="355"/>
    </row>
    <row r="85" spans="1:6" ht="13.5" thickBot="1">
      <c r="A85" s="1292" t="s">
        <v>233</v>
      </c>
      <c r="B85" s="1293"/>
      <c r="C85" s="450" t="str">
        <f>'Development Program'!B26</f>
        <v>Lower Cascade Apts</v>
      </c>
    </row>
    <row r="86" spans="1:6" ht="13.5" thickBot="1">
      <c r="A86" s="83"/>
      <c r="B86" s="356" t="s">
        <v>234</v>
      </c>
      <c r="C86" s="356"/>
    </row>
    <row r="87" spans="1:6" ht="12.75">
      <c r="A87" s="357" t="s">
        <v>235</v>
      </c>
      <c r="B87" s="358">
        <f>ROUND(D46,-2)</f>
        <v>322042800</v>
      </c>
      <c r="C87" s="359"/>
    </row>
    <row r="88" spans="1:6" ht="13.5" thickBot="1">
      <c r="A88" s="451">
        <v>0.02</v>
      </c>
      <c r="B88" s="361">
        <f>(-ROUND(A88*B87,-2))</f>
        <v>-6440900</v>
      </c>
      <c r="C88" s="362"/>
    </row>
    <row r="89" spans="1:6" ht="14.25" thickTop="1" thickBot="1">
      <c r="A89" s="363" t="s">
        <v>236</v>
      </c>
      <c r="B89" s="236">
        <f>B87+B88</f>
        <v>315601900</v>
      </c>
      <c r="C89" s="84"/>
      <c r="E89" s="85"/>
      <c r="F89" s="85"/>
    </row>
    <row r="90" spans="1:6" ht="12.75">
      <c r="A90" s="357" t="s">
        <v>237</v>
      </c>
      <c r="B90" s="358">
        <f>-B81</f>
        <v>-158959969.176</v>
      </c>
      <c r="C90" s="359"/>
    </row>
    <row r="91" spans="1:6" ht="13.5" thickBot="1">
      <c r="A91" s="364" t="s">
        <v>238</v>
      </c>
      <c r="B91" s="365">
        <f>-B82</f>
        <v>-105973312.78400001</v>
      </c>
      <c r="C91" s="362"/>
    </row>
    <row r="92" spans="1:6" ht="14.25" thickTop="1" thickBot="1">
      <c r="A92" s="135" t="s">
        <v>239</v>
      </c>
      <c r="B92" s="237">
        <f>ROUND(B89+B90+B91,-2)</f>
        <v>50668600</v>
      </c>
      <c r="C92" s="86"/>
      <c r="D92" s="87"/>
    </row>
    <row r="93" spans="1:6" ht="13.5" thickBot="1">
      <c r="A93" s="1277" t="s">
        <v>240</v>
      </c>
      <c r="B93" s="1278"/>
      <c r="C93" s="1279"/>
    </row>
    <row r="94" spans="1:6" ht="12.75">
      <c r="A94" s="366" t="s">
        <v>241</v>
      </c>
      <c r="B94" s="367">
        <f>ROUND((B87)/B17,-2)</f>
        <v>524500</v>
      </c>
      <c r="C94" s="367"/>
    </row>
    <row r="95" spans="1:6" ht="13.5" thickBot="1">
      <c r="A95" s="368" t="s">
        <v>242</v>
      </c>
      <c r="B95" s="369">
        <f>B89/B17</f>
        <v>514009.60912052117</v>
      </c>
      <c r="C95" s="369"/>
    </row>
    <row r="96" spans="1:6" ht="13.5" thickBot="1">
      <c r="A96" s="1280" t="s">
        <v>243</v>
      </c>
      <c r="B96" s="1281"/>
      <c r="C96" s="1282"/>
    </row>
    <row r="97" spans="1:4" ht="12.75">
      <c r="A97" s="89"/>
      <c r="B97" s="356" t="s">
        <v>234</v>
      </c>
      <c r="C97" s="356"/>
    </row>
    <row r="98" spans="1:4" ht="12.75">
      <c r="A98" s="370" t="s">
        <v>244</v>
      </c>
      <c r="B98" s="371">
        <f>(B92+B82)/B82</f>
        <v>1.4781260363472379</v>
      </c>
      <c r="C98" s="371"/>
    </row>
    <row r="99" spans="1:4" ht="12.75">
      <c r="A99" s="372" t="s">
        <v>245</v>
      </c>
      <c r="B99" s="373">
        <f>'Lower Cascade Draw '!B39</f>
        <v>0.1257276110504304</v>
      </c>
      <c r="C99" s="165"/>
      <c r="D99" s="90"/>
    </row>
    <row r="100" spans="1:4" ht="12.75">
      <c r="A100" s="372" t="s">
        <v>246</v>
      </c>
      <c r="B100" s="373">
        <f>'Lower Cascade Draw '!B44</f>
        <v>6.3129988488107358E-2</v>
      </c>
      <c r="C100" s="165"/>
      <c r="D100" s="90"/>
    </row>
    <row r="101" spans="1:4" ht="12.75">
      <c r="A101" s="370" t="s">
        <v>247</v>
      </c>
      <c r="B101" s="373">
        <f>D45/B81</f>
        <v>9.6231983934667045E-2</v>
      </c>
      <c r="C101" s="373"/>
    </row>
    <row r="102" spans="1:4" ht="12.75">
      <c r="A102" s="370" t="s">
        <v>248</v>
      </c>
      <c r="B102" s="374">
        <f>C46</f>
        <v>4.7500000000000001E-2</v>
      </c>
      <c r="C102" s="374"/>
    </row>
    <row r="109" spans="1:4" ht="23.25" hidden="1" customHeight="1" thickBot="1"/>
    <row r="115" spans="1:4" ht="23.25" customHeight="1">
      <c r="A115" s="166"/>
      <c r="B115" s="166"/>
      <c r="C115" s="166"/>
      <c r="D115" s="46"/>
    </row>
  </sheetData>
  <mergeCells count="18">
    <mergeCell ref="A93:C93"/>
    <mergeCell ref="A96:C96"/>
    <mergeCell ref="B36:C36"/>
    <mergeCell ref="B40:C40"/>
    <mergeCell ref="B41:C41"/>
    <mergeCell ref="A77:B77"/>
    <mergeCell ref="A85:B85"/>
    <mergeCell ref="E68:G68"/>
    <mergeCell ref="E69:G69"/>
    <mergeCell ref="B35:C35"/>
    <mergeCell ref="A2:C2"/>
    <mergeCell ref="D2:E2"/>
    <mergeCell ref="C32:D32"/>
    <mergeCell ref="A32:B32"/>
    <mergeCell ref="A47:B47"/>
    <mergeCell ref="C47:D47"/>
    <mergeCell ref="E63:G63"/>
    <mergeCell ref="E46:G46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40" max="8" man="1"/>
    <brk id="58" max="8" man="1"/>
    <brk id="89" max="8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9" ma:contentTypeDescription="Create a new document." ma:contentTypeScope="" ma:versionID="8cdfc8d213607a8f13a74f250c58771c">
  <xsd:schema xmlns:xsd="http://www.w3.org/2001/XMLSchema" xmlns:xs="http://www.w3.org/2001/XMLSchema" xmlns:p="http://schemas.microsoft.com/office/2006/metadata/properties" xmlns:ns1="http://schemas.microsoft.com/sharepoint/v3" xmlns:ns2="07832773-9414-42b9-95c3-36a558d8f74c" xmlns:ns3="9f6012f1-210b-47d8-98a5-79507b18255d" targetNamespace="http://schemas.microsoft.com/office/2006/metadata/properties" ma:root="true" ma:fieldsID="f2c9d8002140b2ae07bcb72fed75c4c3" ns1:_="" ns2:_="" ns3:_="">
    <xsd:import namespace="http://schemas.microsoft.com/sharepoint/v3"/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44f5b13-403a-4dd3-b9ce-b7b6c8a66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396aa7e-ad57-49d2-b18b-708832d3d098}" ma:internalName="TaxCatchAll" ma:showField="CatchAllData" ma:web="9f6012f1-210b-47d8-98a5-79507b1825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832773-9414-42b9-95c3-36a558d8f74c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TaxCatchAll xmlns="9f6012f1-210b-47d8-98a5-79507b18255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2DD288-7197-49A5-9A33-60D2521EA0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832773-9414-42b9-95c3-36a558d8f74c"/>
    <ds:schemaRef ds:uri="9f6012f1-210b-47d8-98a5-79507b1825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A958F3-F430-43FD-B3C6-6C4F0E201786}">
  <ds:schemaRefs>
    <ds:schemaRef ds:uri="http://purl.org/dc/elements/1.1/"/>
    <ds:schemaRef ds:uri="http://www.w3.org/XML/1998/namespace"/>
    <ds:schemaRef ds:uri="http://schemas.microsoft.com/office/2006/metadata/properties"/>
    <ds:schemaRef ds:uri="07832773-9414-42b9-95c3-36a558d8f7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9f6012f1-210b-47d8-98a5-79507b18255d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9663C87-CDAA-4A2F-9CA6-018325680F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Market Research</vt:lpstr>
      <vt:lpstr>Assumptions</vt:lpstr>
      <vt:lpstr>Development Program</vt:lpstr>
      <vt:lpstr>Types of Development</vt:lpstr>
      <vt:lpstr>Courthouse Financial </vt:lpstr>
      <vt:lpstr>Courthouse DRAW </vt:lpstr>
      <vt:lpstr>Yesler Financial</vt:lpstr>
      <vt:lpstr>Yesler DRAW</vt:lpstr>
      <vt:lpstr>Lower Cascade Financial</vt:lpstr>
      <vt:lpstr>Lower Cascade Draw </vt:lpstr>
      <vt:lpstr>Chinook Financial</vt:lpstr>
      <vt:lpstr>Chinook Draw</vt:lpstr>
      <vt:lpstr>4th Street Financial </vt:lpstr>
      <vt:lpstr>4th Street Draw</vt:lpstr>
      <vt:lpstr>Upper Cascade Financial</vt:lpstr>
      <vt:lpstr>Upper Cascade Draw </vt:lpstr>
      <vt:lpstr>Rainier Tower Financial </vt:lpstr>
      <vt:lpstr>Rainier Tower Draw</vt:lpstr>
      <vt:lpstr>All Components Draw</vt:lpstr>
      <vt:lpstr>G Financial</vt:lpstr>
      <vt:lpstr>G Draw</vt:lpstr>
      <vt:lpstr>F Draw</vt:lpstr>
      <vt:lpstr>F Financial</vt:lpstr>
      <vt:lpstr>'Chinook Financial'!Print_Area</vt:lpstr>
      <vt:lpstr>'Courthouse DRAW '!Print_Area</vt:lpstr>
      <vt:lpstr>'Courthouse Financial '!Print_Area</vt:lpstr>
      <vt:lpstr>'Development Program'!Print_Area</vt:lpstr>
      <vt:lpstr>'F Financial'!Print_Area</vt:lpstr>
      <vt:lpstr>'G Financial'!Print_Area</vt:lpstr>
      <vt:lpstr>'Lower Cascade Financial'!Print_Area</vt:lpstr>
      <vt:lpstr>'Rainier Tower Financial '!Print_Area</vt:lpstr>
      <vt:lpstr>'Upper Cascade Financial'!Print_Area</vt:lpstr>
      <vt:lpstr>'Yesler DRAW'!Print_Area</vt:lpstr>
      <vt:lpstr>'Yesler Financial'!Print_Area</vt:lpstr>
    </vt:vector>
  </TitlesOfParts>
  <Manager/>
  <Company>Charles A. Long Properties LLC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Chris Bridges</cp:lastModifiedBy>
  <cp:revision/>
  <cp:lastPrinted>2024-01-23T06:59:15Z</cp:lastPrinted>
  <dcterms:created xsi:type="dcterms:W3CDTF">2011-07-11T21:17:46Z</dcterms:created>
  <dcterms:modified xsi:type="dcterms:W3CDTF">2024-01-23T07:00:53Z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0x01010007D0D48330F6CE4FB6B3AE62FA39CE46</vt:lpwstr>
  </property>
  <property fmtid="{D5CDD505-2E9C-101B-9397-08002B2CF9AE}" pid="10" name="MediaServiceImageTags">
    <vt:lpwstr/>
  </property>
</Properties>
</file>