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samanthakylieestabrook/Documents/"/>
    </mc:Choice>
  </mc:AlternateContent>
  <xr:revisionPtr revIDLastSave="0" documentId="13_ncr:1_{9E466472-B1D1-3945-B1CC-5FE28D997DA8}" xr6:coauthVersionLast="36" xr6:coauthVersionMax="36" xr10:uidLastSave="{00000000-0000-0000-0000-000000000000}"/>
  <bookViews>
    <workbookView xWindow="0" yWindow="460" windowWidth="28800" windowHeight="16560" tabRatio="904" xr2:uid="{00000000-000D-0000-FFFF-FFFF00000000}"/>
  </bookViews>
  <sheets>
    <sheet name="Summary Board" sheetId="28" r:id="rId1"/>
    <sheet name="1.Infrastructure Costs" sheetId="15" r:id="rId2"/>
    <sheet name="2.Market-rate Rental Housing" sheetId="14" r:id="rId3"/>
    <sheet name="3. Affordable Rental Housing" sheetId="33" r:id="rId4"/>
    <sheet name="4. Office" sheetId="35" r:id="rId5"/>
    <sheet name="5. Retail" sheetId="34" r:id="rId6"/>
    <sheet name="6. Hotel" sheetId="37" r:id="rId7"/>
    <sheet name="7. Surface Parking" sheetId="41" r:id="rId8"/>
    <sheet name="Assumptions" sheetId="29" r:id="rId9"/>
    <sheet name="Sources &amp; Uses" sheetId="39" r:id="rId10"/>
    <sheet name="Finance" sheetId="38" r:id="rId11"/>
    <sheet name="Phasing" sheetId="32" r:id="rId12"/>
    <sheet name="Land" sheetId="40" r:id="rId13"/>
    <sheet name="Apartment Mix" sheetId="30" r:id="rId14"/>
    <sheet name="3.Market-rate For-Sale Housing" sheetId="19" state="hidden" r:id="rId15"/>
    <sheet name="5.Affordable For-Sale Housing" sheetId="27" state="hidden" r:id="rId16"/>
  </sheets>
  <definedNames>
    <definedName name="_xlnm.Print_Area" localSheetId="1">'1.Infrastructure Costs'!$A$1:$N$25</definedName>
    <definedName name="_xlnm.Print_Area" localSheetId="14">'3.Market-rate For-Sale Housing'!$A$1:$M$27</definedName>
    <definedName name="_xlnm.Print_Area" localSheetId="15">'5.Affordable For-Sale Housing'!$A$1:$M$27</definedName>
    <definedName name="_xlnm.Print_Area" localSheetId="0">'Summary Board'!$A$1:$M$91</definedName>
    <definedName name="solver_adj" localSheetId="11" hidden="1">Phasing!$C$31</definedName>
    <definedName name="solver_cvg" localSheetId="11" hidden="1">0.0001</definedName>
    <definedName name="solver_drv" localSheetId="11" hidden="1">1</definedName>
    <definedName name="solver_eng" localSheetId="11" hidden="1">1</definedName>
    <definedName name="solver_est" localSheetId="11" hidden="1">1</definedName>
    <definedName name="solver_itr" localSheetId="11" hidden="1">2147483647</definedName>
    <definedName name="solver_mip" localSheetId="11" hidden="1">2147483647</definedName>
    <definedName name="solver_mni" localSheetId="11" hidden="1">30</definedName>
    <definedName name="solver_mrt" localSheetId="11" hidden="1">0.075</definedName>
    <definedName name="solver_msl" localSheetId="11" hidden="1">2</definedName>
    <definedName name="solver_neg" localSheetId="11" hidden="1">1</definedName>
    <definedName name="solver_nod" localSheetId="11" hidden="1">2147483647</definedName>
    <definedName name="solver_num" localSheetId="11" hidden="1">0</definedName>
    <definedName name="solver_nwt" localSheetId="11" hidden="1">1</definedName>
    <definedName name="solver_opt" localSheetId="11" hidden="1">Phasing!$I$17</definedName>
    <definedName name="solver_pre" localSheetId="11" hidden="1">0.000001</definedName>
    <definedName name="solver_rbv" localSheetId="11" hidden="1">1</definedName>
    <definedName name="solver_rlx" localSheetId="11" hidden="1">2</definedName>
    <definedName name="solver_rsd" localSheetId="11" hidden="1">0</definedName>
    <definedName name="solver_scl" localSheetId="11" hidden="1">1</definedName>
    <definedName name="solver_sho" localSheetId="11" hidden="1">2</definedName>
    <definedName name="solver_ssz" localSheetId="11" hidden="1">100</definedName>
    <definedName name="solver_tim" localSheetId="11" hidden="1">2147483647</definedName>
    <definedName name="solver_tol" localSheetId="11" hidden="1">0.01</definedName>
    <definedName name="solver_typ" localSheetId="11" hidden="1">3</definedName>
    <definedName name="solver_val" localSheetId="11" hidden="1">2999776</definedName>
    <definedName name="solver_ver" localSheetId="11" hidden="1">3</definedName>
  </definedNames>
  <calcPr calcId="179021"/>
</workbook>
</file>

<file path=xl/calcChain.xml><?xml version="1.0" encoding="utf-8"?>
<calcChain xmlns="http://schemas.openxmlformats.org/spreadsheetml/2006/main">
  <c r="G17" i="28" l="1"/>
  <c r="H21" i="28"/>
  <c r="E19" i="28"/>
  <c r="G22" i="28"/>
  <c r="H9" i="32" l="1"/>
  <c r="H8" i="32"/>
  <c r="H7" i="32"/>
  <c r="F9" i="32"/>
  <c r="F8" i="32"/>
  <c r="F7" i="32"/>
  <c r="N14" i="30"/>
  <c r="I40" i="28"/>
  <c r="F36" i="30"/>
  <c r="F24" i="30"/>
  <c r="F6" i="30"/>
  <c r="L22" i="30"/>
  <c r="L21" i="30"/>
  <c r="N21" i="30" s="1"/>
  <c r="L20" i="30"/>
  <c r="N20" i="30" s="1"/>
  <c r="N22" i="30"/>
  <c r="E14" i="40"/>
  <c r="F14" i="40"/>
  <c r="G14" i="40"/>
  <c r="H14" i="40"/>
  <c r="I14" i="40"/>
  <c r="D14" i="40"/>
  <c r="E88" i="28" l="1"/>
  <c r="E87" i="28"/>
  <c r="E85" i="28"/>
  <c r="D6" i="39"/>
  <c r="D18" i="38" s="1"/>
  <c r="C5" i="38"/>
  <c r="D5" i="38"/>
  <c r="E5" i="38"/>
  <c r="F5" i="38"/>
  <c r="G5" i="38"/>
  <c r="H5" i="38"/>
  <c r="I5" i="38"/>
  <c r="J5" i="38"/>
  <c r="K5" i="38"/>
  <c r="L5" i="38"/>
  <c r="D8" i="38"/>
  <c r="F8" i="38"/>
  <c r="G8" i="38"/>
  <c r="I8" i="38"/>
  <c r="K8" i="38"/>
  <c r="L8" i="38"/>
  <c r="F22" i="15"/>
  <c r="H22" i="15"/>
  <c r="I22" i="15"/>
  <c r="K22" i="15"/>
  <c r="L22" i="15"/>
  <c r="M22" i="15"/>
  <c r="N22" i="15"/>
  <c r="D22" i="15"/>
  <c r="J19" i="15"/>
  <c r="J22" i="15" s="1"/>
  <c r="G19" i="15"/>
  <c r="G22" i="15" s="1"/>
  <c r="E19" i="15"/>
  <c r="E22" i="15" s="1"/>
  <c r="F24" i="37"/>
  <c r="F21" i="28" s="1"/>
  <c r="I24" i="37"/>
  <c r="J24" i="37"/>
  <c r="K24" i="37"/>
  <c r="L24" i="37"/>
  <c r="L21" i="28" s="1"/>
  <c r="M24" i="37"/>
  <c r="M10" i="37"/>
  <c r="L10" i="37"/>
  <c r="K10" i="37"/>
  <c r="J10" i="37"/>
  <c r="I10" i="37"/>
  <c r="F10" i="37"/>
  <c r="F23" i="35"/>
  <c r="I23" i="35"/>
  <c r="L23" i="35"/>
  <c r="L19" i="28" s="1"/>
  <c r="M23" i="35"/>
  <c r="M10" i="35"/>
  <c r="L10" i="35"/>
  <c r="I10" i="35"/>
  <c r="F10" i="35"/>
  <c r="M26" i="33"/>
  <c r="L26" i="33"/>
  <c r="I26" i="33"/>
  <c r="F26" i="33"/>
  <c r="F18" i="28" s="1"/>
  <c r="M12" i="33"/>
  <c r="L12" i="33"/>
  <c r="I12" i="33"/>
  <c r="F12" i="33"/>
  <c r="M26" i="14"/>
  <c r="L26" i="14"/>
  <c r="I26" i="14"/>
  <c r="F26" i="14"/>
  <c r="F17" i="28" s="1"/>
  <c r="L17" i="28"/>
  <c r="F12" i="14"/>
  <c r="I12" i="14"/>
  <c r="L12" i="14"/>
  <c r="M12" i="14"/>
  <c r="V15" i="29"/>
  <c r="E66" i="28"/>
  <c r="F66" i="28"/>
  <c r="G66" i="28"/>
  <c r="H66" i="28"/>
  <c r="I66" i="28"/>
  <c r="J66" i="28"/>
  <c r="K66" i="28"/>
  <c r="L66" i="28"/>
  <c r="M66" i="28"/>
  <c r="D66" i="28"/>
  <c r="E54" i="28"/>
  <c r="F54" i="28"/>
  <c r="G54" i="28"/>
  <c r="H54" i="28"/>
  <c r="I54" i="28"/>
  <c r="J54" i="28"/>
  <c r="K54" i="28"/>
  <c r="L54" i="28"/>
  <c r="M54" i="28"/>
  <c r="D54" i="28"/>
  <c r="D22" i="28"/>
  <c r="E22" i="28"/>
  <c r="F22" i="28"/>
  <c r="H22" i="28"/>
  <c r="I22" i="28"/>
  <c r="J22" i="28"/>
  <c r="K22" i="28"/>
  <c r="L22" i="28"/>
  <c r="M22" i="28"/>
  <c r="C22" i="28"/>
  <c r="E81" i="28" s="1"/>
  <c r="C81" i="28" s="1"/>
  <c r="I21" i="28"/>
  <c r="J21" i="28"/>
  <c r="K21" i="28"/>
  <c r="M21" i="28"/>
  <c r="C21" i="28"/>
  <c r="F20" i="28"/>
  <c r="I20" i="28"/>
  <c r="L20" i="28"/>
  <c r="M20" i="28"/>
  <c r="C20" i="28"/>
  <c r="F19" i="28"/>
  <c r="I19" i="28"/>
  <c r="M19" i="28"/>
  <c r="C19" i="28"/>
  <c r="I18" i="28"/>
  <c r="L18" i="28"/>
  <c r="M18" i="28"/>
  <c r="C18" i="28"/>
  <c r="M17" i="28"/>
  <c r="I17" i="28"/>
  <c r="C17" i="28"/>
  <c r="F21" i="15"/>
  <c r="G21" i="15"/>
  <c r="H21" i="15"/>
  <c r="I21" i="15"/>
  <c r="J21" i="15"/>
  <c r="K21" i="15"/>
  <c r="L21" i="15"/>
  <c r="M21" i="15"/>
  <c r="N21" i="15"/>
  <c r="E21" i="15"/>
  <c r="E20" i="15"/>
  <c r="F20" i="15"/>
  <c r="G20" i="15"/>
  <c r="H20" i="15"/>
  <c r="I20" i="15"/>
  <c r="J20" i="15"/>
  <c r="K20" i="15"/>
  <c r="L20" i="15"/>
  <c r="D20" i="15"/>
  <c r="E86" i="28" l="1"/>
  <c r="H6" i="38"/>
  <c r="E6" i="38"/>
  <c r="L6" i="38"/>
  <c r="K6" i="38"/>
  <c r="B6" i="38"/>
  <c r="G50" i="32" l="1"/>
  <c r="E16" i="32" s="1"/>
  <c r="G49" i="32"/>
  <c r="E15" i="32" s="1"/>
  <c r="G48" i="32"/>
  <c r="G31" i="32" s="1"/>
  <c r="D23" i="28"/>
  <c r="C8" i="38" s="1"/>
  <c r="C23" i="28"/>
  <c r="E15" i="15"/>
  <c r="F15" i="15"/>
  <c r="G15" i="15"/>
  <c r="H15" i="15"/>
  <c r="I15" i="15"/>
  <c r="J15" i="15"/>
  <c r="K15" i="15"/>
  <c r="L15" i="15"/>
  <c r="M15" i="15"/>
  <c r="N15" i="15"/>
  <c r="D15" i="15"/>
  <c r="D30" i="41"/>
  <c r="E30" i="41"/>
  <c r="C30" i="41"/>
  <c r="C27" i="41"/>
  <c r="D27" i="41"/>
  <c r="E27" i="41"/>
  <c r="D14" i="41"/>
  <c r="E14" i="41" s="1"/>
  <c r="F14" i="41" s="1"/>
  <c r="G14" i="41" s="1"/>
  <c r="H14" i="41" s="1"/>
  <c r="I14" i="41" s="1"/>
  <c r="J14" i="41" s="1"/>
  <c r="K14" i="41" s="1"/>
  <c r="L14" i="41" s="1"/>
  <c r="M14" i="41" s="1"/>
  <c r="D11" i="28"/>
  <c r="E11" i="28"/>
  <c r="C11" i="28"/>
  <c r="K10" i="41"/>
  <c r="J10" i="41"/>
  <c r="H10" i="41"/>
  <c r="G10" i="41"/>
  <c r="E11" i="41"/>
  <c r="F11" i="41" s="1"/>
  <c r="G11" i="41" s="1"/>
  <c r="H11" i="41" s="1"/>
  <c r="D11" i="41"/>
  <c r="E10" i="41"/>
  <c r="D10" i="41"/>
  <c r="D20" i="41"/>
  <c r="E20" i="41" s="1"/>
  <c r="F20" i="41" s="1"/>
  <c r="G20" i="41" s="1"/>
  <c r="H20" i="41" s="1"/>
  <c r="I20" i="41" s="1"/>
  <c r="J20" i="41" s="1"/>
  <c r="K20" i="41" s="1"/>
  <c r="L20" i="41" s="1"/>
  <c r="M20" i="41" s="1"/>
  <c r="M21" i="41" s="1"/>
  <c r="M22" i="41" s="1"/>
  <c r="M23" i="41" s="1"/>
  <c r="M29" i="41" s="1"/>
  <c r="F16" i="41"/>
  <c r="F17" i="41" s="1"/>
  <c r="F18" i="41" s="1"/>
  <c r="F25" i="41" s="1"/>
  <c r="F30" i="41" s="1"/>
  <c r="I12" i="41"/>
  <c r="F12" i="41"/>
  <c r="F13" i="41" s="1"/>
  <c r="G13" i="41" s="1"/>
  <c r="H13" i="41" s="1"/>
  <c r="I13" i="41" s="1"/>
  <c r="J13" i="41" s="1"/>
  <c r="K13" i="41" s="1"/>
  <c r="L13" i="41" s="1"/>
  <c r="M13" i="41" s="1"/>
  <c r="M16" i="41" s="1"/>
  <c r="M17" i="41" s="1"/>
  <c r="M18" i="41" s="1"/>
  <c r="M11" i="28" s="1"/>
  <c r="F4" i="41"/>
  <c r="G4" i="41"/>
  <c r="D4" i="41"/>
  <c r="B4" i="41"/>
  <c r="E7" i="41"/>
  <c r="F7" i="41" s="1"/>
  <c r="G7" i="41" s="1"/>
  <c r="H7" i="41" s="1"/>
  <c r="I7" i="41" s="1"/>
  <c r="J7" i="41" s="1"/>
  <c r="K7" i="41" s="1"/>
  <c r="L7" i="41" s="1"/>
  <c r="M7" i="41" s="1"/>
  <c r="M27" i="29"/>
  <c r="M13" i="15"/>
  <c r="N13" i="15"/>
  <c r="M12" i="15"/>
  <c r="N12" i="15"/>
  <c r="M11" i="15"/>
  <c r="N11" i="15"/>
  <c r="M9" i="15"/>
  <c r="N9" i="15"/>
  <c r="M7" i="15"/>
  <c r="N7" i="15"/>
  <c r="B8" i="38" l="1"/>
  <c r="F27" i="41"/>
  <c r="F11" i="28"/>
  <c r="M27" i="41"/>
  <c r="M28" i="41" s="1"/>
  <c r="M25" i="41"/>
  <c r="G33" i="32"/>
  <c r="G32" i="32"/>
  <c r="N16" i="15"/>
  <c r="N24" i="15" s="1"/>
  <c r="M25" i="28" s="1"/>
  <c r="L7" i="38" s="1"/>
  <c r="M16" i="15"/>
  <c r="M24" i="15" s="1"/>
  <c r="L25" i="28" s="1"/>
  <c r="K7" i="38" s="1"/>
  <c r="D21" i="41"/>
  <c r="H21" i="41"/>
  <c r="L21" i="41"/>
  <c r="K21" i="41"/>
  <c r="G21" i="41"/>
  <c r="J21" i="41"/>
  <c r="F21" i="41"/>
  <c r="I21" i="41"/>
  <c r="E21" i="41"/>
  <c r="L22" i="41"/>
  <c r="L23" i="41" s="1"/>
  <c r="L29" i="41" s="1"/>
  <c r="L16" i="41"/>
  <c r="L17" i="41" s="1"/>
  <c r="L18" i="41" s="1"/>
  <c r="H16" i="41"/>
  <c r="H17" i="41" s="1"/>
  <c r="H18" i="41" s="1"/>
  <c r="K16" i="41"/>
  <c r="K17" i="41" s="1"/>
  <c r="K18" i="41" s="1"/>
  <c r="G16" i="41"/>
  <c r="G17" i="41" s="1"/>
  <c r="G18" i="41" s="1"/>
  <c r="J16" i="41"/>
  <c r="J17" i="41" s="1"/>
  <c r="J18" i="41" s="1"/>
  <c r="I16" i="41"/>
  <c r="I17" i="41" s="1"/>
  <c r="I18" i="41" s="1"/>
  <c r="I11" i="41"/>
  <c r="J11" i="41" s="1"/>
  <c r="K11" i="41" s="1"/>
  <c r="L11" i="41" s="1"/>
  <c r="M11" i="41" s="1"/>
  <c r="H3" i="41"/>
  <c r="H4" i="41" s="1"/>
  <c r="E4" i="41"/>
  <c r="D28" i="40"/>
  <c r="E28" i="40"/>
  <c r="F28" i="40"/>
  <c r="G28" i="40"/>
  <c r="H28" i="40"/>
  <c r="I28" i="40"/>
  <c r="M30" i="41" l="1"/>
  <c r="L11" i="28"/>
  <c r="L25" i="41"/>
  <c r="L30" i="41" s="1"/>
  <c r="L27" i="41"/>
  <c r="J11" i="28"/>
  <c r="J27" i="41"/>
  <c r="J25" i="41"/>
  <c r="J30" i="41" s="1"/>
  <c r="H11" i="28"/>
  <c r="H25" i="41"/>
  <c r="H30" i="41" s="1"/>
  <c r="H27" i="41"/>
  <c r="G27" i="41"/>
  <c r="G11" i="28"/>
  <c r="G25" i="41"/>
  <c r="G30" i="41" s="1"/>
  <c r="K27" i="41"/>
  <c r="K11" i="28"/>
  <c r="K25" i="41"/>
  <c r="K30" i="41" s="1"/>
  <c r="I11" i="28"/>
  <c r="I25" i="41"/>
  <c r="I30" i="41" s="1"/>
  <c r="I27" i="41"/>
  <c r="I22" i="41"/>
  <c r="I23" i="41" s="1"/>
  <c r="I29" i="41" s="1"/>
  <c r="K22" i="41"/>
  <c r="K23" i="41" s="1"/>
  <c r="K29" i="41" s="1"/>
  <c r="J22" i="41"/>
  <c r="G22" i="41"/>
  <c r="G23" i="41" s="1"/>
  <c r="G29" i="41" s="1"/>
  <c r="F22" i="41"/>
  <c r="H22" i="41"/>
  <c r="H23" i="41" s="1"/>
  <c r="H29" i="41" s="1"/>
  <c r="E22" i="41"/>
  <c r="E23" i="41" s="1"/>
  <c r="D23" i="41"/>
  <c r="D22" i="41"/>
  <c r="C22" i="41"/>
  <c r="C23" i="41" s="1"/>
  <c r="F23" i="41"/>
  <c r="F29" i="41" s="1"/>
  <c r="J23" i="41"/>
  <c r="J29" i="41" s="1"/>
  <c r="C4" i="41"/>
  <c r="I3" i="41"/>
  <c r="I4" i="41" s="1"/>
  <c r="B19" i="34"/>
  <c r="C32" i="28"/>
  <c r="D32" i="28"/>
  <c r="E32" i="28"/>
  <c r="D35" i="38"/>
  <c r="E35" i="38"/>
  <c r="F35" i="38"/>
  <c r="G35" i="38"/>
  <c r="H35" i="38"/>
  <c r="I35" i="38"/>
  <c r="J35" i="38"/>
  <c r="K35" i="38"/>
  <c r="L35" i="38"/>
  <c r="C31" i="38"/>
  <c r="B31" i="38"/>
  <c r="M17" i="38"/>
  <c r="M20" i="38"/>
  <c r="J25" i="37"/>
  <c r="K13" i="15" s="1"/>
  <c r="K25" i="37"/>
  <c r="L13" i="15" s="1"/>
  <c r="I25" i="37"/>
  <c r="J13" i="15" s="1"/>
  <c r="B5" i="38"/>
  <c r="D33" i="14"/>
  <c r="E33" i="14"/>
  <c r="C33" i="14"/>
  <c r="B31" i="41" l="1"/>
  <c r="D29" i="41"/>
  <c r="E29" i="41"/>
  <c r="C29" i="41"/>
  <c r="B32" i="41"/>
  <c r="D11" i="39"/>
  <c r="D25" i="33"/>
  <c r="D4" i="38" l="1"/>
  <c r="E4" i="38" s="1"/>
  <c r="F4" i="38" s="1"/>
  <c r="G4" i="38" s="1"/>
  <c r="H4" i="38" s="1"/>
  <c r="I4" i="38" s="1"/>
  <c r="J4" i="38" s="1"/>
  <c r="K4" i="38" s="1"/>
  <c r="L4" i="38" s="1"/>
  <c r="C3" i="38"/>
  <c r="D3" i="38" s="1"/>
  <c r="E3" i="38" s="1"/>
  <c r="F3" i="38" s="1"/>
  <c r="G3" i="38" s="1"/>
  <c r="H3" i="38" s="1"/>
  <c r="I3" i="38" s="1"/>
  <c r="J3" i="38" s="1"/>
  <c r="K3" i="38" s="1"/>
  <c r="L3" i="38" s="1"/>
  <c r="M5" i="38" l="1"/>
  <c r="E52" i="28"/>
  <c r="F52" i="28"/>
  <c r="D52" i="28"/>
  <c r="E49" i="28"/>
  <c r="F49" i="28"/>
  <c r="D49" i="28"/>
  <c r="E47" i="28"/>
  <c r="F47" i="28"/>
  <c r="D47" i="28"/>
  <c r="D64" i="28" l="1"/>
  <c r="D62" i="28"/>
  <c r="D61" i="28"/>
  <c r="D59" i="28"/>
  <c r="D57" i="28"/>
  <c r="D10" i="28"/>
  <c r="E10" i="28"/>
  <c r="C10" i="28"/>
  <c r="D9" i="28"/>
  <c r="E9" i="28"/>
  <c r="C9" i="28"/>
  <c r="C8" i="28"/>
  <c r="D7" i="28"/>
  <c r="E7" i="28"/>
  <c r="C7" i="28"/>
  <c r="E5" i="28"/>
  <c r="D5" i="28"/>
  <c r="C5" i="28"/>
  <c r="G3" i="37"/>
  <c r="G4" i="37" s="1"/>
  <c r="D68" i="28" l="1"/>
  <c r="C12" i="28"/>
  <c r="C14" i="28" s="1"/>
  <c r="C31" i="28" l="1"/>
  <c r="B30" i="38" s="1"/>
  <c r="B32" i="38" s="1"/>
  <c r="B36" i="38" s="1"/>
  <c r="B27" i="38"/>
  <c r="C37" i="28" s="1"/>
  <c r="K12" i="37"/>
  <c r="J12" i="37"/>
  <c r="B30" i="37"/>
  <c r="E23" i="37"/>
  <c r="F23" i="37" s="1"/>
  <c r="G23" i="37" s="1"/>
  <c r="H23" i="37" s="1"/>
  <c r="I23" i="37" s="1"/>
  <c r="J23" i="37" s="1"/>
  <c r="K23" i="37" s="1"/>
  <c r="L23" i="37" s="1"/>
  <c r="E21" i="37"/>
  <c r="D21" i="37"/>
  <c r="B20" i="37"/>
  <c r="B16" i="37"/>
  <c r="E7" i="37"/>
  <c r="F7" i="37" s="1"/>
  <c r="G7" i="37" s="1"/>
  <c r="H7" i="37" s="1"/>
  <c r="I7" i="37" s="1"/>
  <c r="J7" i="37" s="1"/>
  <c r="K7" i="37" s="1"/>
  <c r="L7" i="37" s="1"/>
  <c r="M7" i="37" s="1"/>
  <c r="F4" i="37"/>
  <c r="B15" i="35"/>
  <c r="D16" i="35"/>
  <c r="E16" i="35" s="1"/>
  <c r="F16" i="35" s="1"/>
  <c r="G16" i="35" s="1"/>
  <c r="H16" i="35" s="1"/>
  <c r="I16" i="35" s="1"/>
  <c r="J16" i="35" s="1"/>
  <c r="K16" i="35" s="1"/>
  <c r="L16" i="35" s="1"/>
  <c r="M16" i="35" s="1"/>
  <c r="B29" i="35"/>
  <c r="E22" i="35"/>
  <c r="F22" i="35" s="1"/>
  <c r="G22" i="35" s="1"/>
  <c r="H22" i="35" s="1"/>
  <c r="I22" i="35" s="1"/>
  <c r="J22" i="35" s="1"/>
  <c r="K22" i="35" s="1"/>
  <c r="L22" i="35" s="1"/>
  <c r="E20" i="35"/>
  <c r="E8" i="28" s="1"/>
  <c r="E12" i="28" s="1"/>
  <c r="E31" i="28" s="1"/>
  <c r="D30" i="38" s="1"/>
  <c r="D20" i="35"/>
  <c r="D8" i="28" s="1"/>
  <c r="D12" i="28" s="1"/>
  <c r="B19" i="35"/>
  <c r="E7" i="35"/>
  <c r="F7" i="35" s="1"/>
  <c r="G7" i="35" s="1"/>
  <c r="H7" i="35" s="1"/>
  <c r="I7" i="35" s="1"/>
  <c r="J7" i="35" s="1"/>
  <c r="K7" i="35" s="1"/>
  <c r="L7" i="35" s="1"/>
  <c r="M7" i="35" s="1"/>
  <c r="D16" i="34"/>
  <c r="E16" i="34" s="1"/>
  <c r="F16" i="34" s="1"/>
  <c r="G16" i="34" s="1"/>
  <c r="H16" i="34" s="1"/>
  <c r="I16" i="34" s="1"/>
  <c r="J16" i="34" s="1"/>
  <c r="K16" i="34" s="1"/>
  <c r="L16" i="34" s="1"/>
  <c r="M16" i="34" s="1"/>
  <c r="B15" i="34"/>
  <c r="B29" i="34"/>
  <c r="E22" i="34"/>
  <c r="F22" i="34" s="1"/>
  <c r="G22" i="34" s="1"/>
  <c r="H22" i="34" s="1"/>
  <c r="I22" i="34" s="1"/>
  <c r="J22" i="34" s="1"/>
  <c r="K22" i="34" s="1"/>
  <c r="L22" i="34" s="1"/>
  <c r="E20" i="34"/>
  <c r="D20" i="34"/>
  <c r="E7" i="34"/>
  <c r="F7" i="34" s="1"/>
  <c r="G7" i="34" s="1"/>
  <c r="H7" i="34" s="1"/>
  <c r="I7" i="34" s="1"/>
  <c r="J7" i="34" s="1"/>
  <c r="K7" i="34" s="1"/>
  <c r="L7" i="34" s="1"/>
  <c r="M7" i="34" s="1"/>
  <c r="E25" i="33"/>
  <c r="F25" i="33" s="1"/>
  <c r="E23" i="33"/>
  <c r="D23" i="33"/>
  <c r="G4" i="33"/>
  <c r="H4" i="33"/>
  <c r="H3" i="33"/>
  <c r="G3" i="33"/>
  <c r="E4" i="33"/>
  <c r="F4" i="33"/>
  <c r="F3" i="33"/>
  <c r="E3" i="33"/>
  <c r="C4" i="33"/>
  <c r="D4" i="33"/>
  <c r="D3" i="33"/>
  <c r="C3" i="33"/>
  <c r="B32" i="33"/>
  <c r="B22" i="33"/>
  <c r="B19" i="33"/>
  <c r="E9" i="33"/>
  <c r="F9" i="33" s="1"/>
  <c r="G9" i="33" s="1"/>
  <c r="H9" i="33" s="1"/>
  <c r="I9" i="33" s="1"/>
  <c r="J9" i="33" s="1"/>
  <c r="K9" i="33" s="1"/>
  <c r="L9" i="33" s="1"/>
  <c r="M9" i="33" s="1"/>
  <c r="B5" i="33"/>
  <c r="B17" i="33" s="1"/>
  <c r="B4" i="33"/>
  <c r="B3" i="33"/>
  <c r="D23" i="14"/>
  <c r="E23" i="14"/>
  <c r="E25" i="14"/>
  <c r="F25" i="14" s="1"/>
  <c r="B32" i="14"/>
  <c r="B22" i="14"/>
  <c r="B19" i="14"/>
  <c r="N8" i="30"/>
  <c r="N7" i="30"/>
  <c r="N6" i="30"/>
  <c r="B5" i="14"/>
  <c r="B4" i="14"/>
  <c r="B3" i="14"/>
  <c r="E14" i="28" l="1"/>
  <c r="D14" i="28"/>
  <c r="D31" i="28"/>
  <c r="C30" i="38" s="1"/>
  <c r="G25" i="33"/>
  <c r="H25" i="33" s="1"/>
  <c r="M23" i="37"/>
  <c r="M22" i="35"/>
  <c r="L23" i="34"/>
  <c r="M22" i="34"/>
  <c r="M23" i="34" s="1"/>
  <c r="I25" i="33"/>
  <c r="J25" i="33" s="1"/>
  <c r="K25" i="33" s="1"/>
  <c r="L25" i="33" s="1"/>
  <c r="J4" i="33"/>
  <c r="J3" i="33"/>
  <c r="I4" i="33"/>
  <c r="I3" i="33"/>
  <c r="G25" i="14"/>
  <c r="H25" i="14" s="1"/>
  <c r="C27" i="38" l="1"/>
  <c r="D37" i="28" s="1"/>
  <c r="K26" i="37"/>
  <c r="M26" i="37"/>
  <c r="J26" i="37"/>
  <c r="L26" i="37"/>
  <c r="L25" i="35"/>
  <c r="M25" i="35"/>
  <c r="I23" i="34"/>
  <c r="M25" i="34"/>
  <c r="L25" i="34"/>
  <c r="M25" i="33"/>
  <c r="I25" i="14"/>
  <c r="C32" i="38" l="1"/>
  <c r="C36" i="38" s="1"/>
  <c r="L28" i="33"/>
  <c r="M28" i="33"/>
  <c r="J25" i="14"/>
  <c r="K25" i="14" l="1"/>
  <c r="L25" i="14" l="1"/>
  <c r="M25" i="14" l="1"/>
  <c r="L28" i="14" l="1"/>
  <c r="M28" i="14"/>
  <c r="M28" i="28" l="1"/>
  <c r="M34" i="28" s="1"/>
  <c r="L9" i="38"/>
  <c r="L21" i="38" s="1"/>
  <c r="L28" i="28"/>
  <c r="L34" i="28" s="1"/>
  <c r="K9" i="38"/>
  <c r="K21" i="38" s="1"/>
  <c r="M4" i="27" l="1"/>
  <c r="L4" i="27"/>
  <c r="K4" i="27"/>
  <c r="J4" i="27"/>
  <c r="I4" i="27"/>
  <c r="H4" i="27"/>
  <c r="G4" i="27"/>
  <c r="F4" i="27"/>
  <c r="E4" i="27"/>
  <c r="M4" i="19"/>
  <c r="L4" i="19"/>
  <c r="K4" i="19"/>
  <c r="J4" i="19"/>
  <c r="I4" i="19"/>
  <c r="H4" i="19"/>
  <c r="G4" i="19"/>
  <c r="F4" i="19"/>
  <c r="E4" i="19"/>
  <c r="E9" i="14"/>
  <c r="F9" i="14" s="1"/>
  <c r="G9" i="14" s="1"/>
  <c r="H9" i="14" s="1"/>
  <c r="I9" i="14" s="1"/>
  <c r="J9" i="14" s="1"/>
  <c r="K9" i="14" s="1"/>
  <c r="L9" i="14" s="1"/>
  <c r="M9" i="14" s="1"/>
  <c r="F4" i="15"/>
  <c r="G4" i="15" s="1"/>
  <c r="H4" i="15" s="1"/>
  <c r="I4" i="15" s="1"/>
  <c r="J4" i="15" s="1"/>
  <c r="K4" i="15" s="1"/>
  <c r="L4" i="15" s="1"/>
  <c r="M4" i="15" s="1"/>
  <c r="N4" i="15" s="1"/>
  <c r="D38" i="30"/>
  <c r="H35" i="30"/>
  <c r="H36" i="30" s="1"/>
  <c r="G35" i="30"/>
  <c r="G42" i="32" s="1"/>
  <c r="G25" i="32" s="1"/>
  <c r="F35" i="30"/>
  <c r="H32" i="30"/>
  <c r="H33" i="30" s="1"/>
  <c r="G32" i="30"/>
  <c r="E25" i="32" s="1"/>
  <c r="F32" i="30"/>
  <c r="F33" i="30" s="1"/>
  <c r="H26" i="30"/>
  <c r="H27" i="30" s="1"/>
  <c r="G26" i="30"/>
  <c r="G27" i="30" s="1"/>
  <c r="F26" i="30"/>
  <c r="F27" i="30" s="1"/>
  <c r="H23" i="30"/>
  <c r="H24" i="30" s="1"/>
  <c r="G23" i="30"/>
  <c r="G24" i="30" s="1"/>
  <c r="F59" i="32" s="1"/>
  <c r="F23" i="30"/>
  <c r="F58" i="32" s="1"/>
  <c r="H20" i="30"/>
  <c r="H21" i="30" s="1"/>
  <c r="G20" i="30"/>
  <c r="G21" i="30" s="1"/>
  <c r="D25" i="32" s="1"/>
  <c r="F20" i="30"/>
  <c r="F21" i="30" s="1"/>
  <c r="H14" i="30"/>
  <c r="H15" i="30" s="1"/>
  <c r="G14" i="30"/>
  <c r="G15" i="30" s="1"/>
  <c r="F14" i="30"/>
  <c r="F15" i="30" s="1"/>
  <c r="H8" i="30"/>
  <c r="H9" i="30" s="1"/>
  <c r="G8" i="30"/>
  <c r="G9" i="30" s="1"/>
  <c r="F8" i="30"/>
  <c r="F9" i="30" s="1"/>
  <c r="H5" i="30"/>
  <c r="G5" i="30"/>
  <c r="G38" i="30" s="1"/>
  <c r="F5" i="30"/>
  <c r="C58" i="32"/>
  <c r="F44" i="32"/>
  <c r="E44" i="32"/>
  <c r="E58" i="32"/>
  <c r="F40" i="32"/>
  <c r="F51" i="32" s="1"/>
  <c r="E40" i="32"/>
  <c r="C25" i="32"/>
  <c r="J16" i="32"/>
  <c r="G16" i="32"/>
  <c r="J15" i="32"/>
  <c r="J14" i="32"/>
  <c r="C42" i="29"/>
  <c r="D17" i="37" s="1"/>
  <c r="E17" i="37" s="1"/>
  <c r="F17" i="37" s="1"/>
  <c r="G17" i="37" s="1"/>
  <c r="H17" i="37" s="1"/>
  <c r="I17" i="37" s="1"/>
  <c r="J17" i="37" s="1"/>
  <c r="K17" i="37" s="1"/>
  <c r="L17" i="37" s="1"/>
  <c r="M17" i="37" s="1"/>
  <c r="O28" i="29"/>
  <c r="L28" i="29"/>
  <c r="K28" i="29"/>
  <c r="S27" i="29"/>
  <c r="Q27" i="29"/>
  <c r="O27" i="29"/>
  <c r="S26" i="29"/>
  <c r="Q26" i="29"/>
  <c r="O26" i="29"/>
  <c r="M26" i="29"/>
  <c r="S25" i="29"/>
  <c r="Q25" i="29"/>
  <c r="O25" i="29"/>
  <c r="M25" i="29"/>
  <c r="S24" i="29"/>
  <c r="Q24" i="29"/>
  <c r="O24" i="29"/>
  <c r="M24" i="29"/>
  <c r="S23" i="29"/>
  <c r="Q23" i="29"/>
  <c r="O23" i="29"/>
  <c r="M23" i="29"/>
  <c r="S22" i="29"/>
  <c r="Q22" i="29"/>
  <c r="O22" i="29"/>
  <c r="M22" i="29"/>
  <c r="S21" i="29"/>
  <c r="Q21" i="29"/>
  <c r="O21" i="29"/>
  <c r="M21" i="29"/>
  <c r="S20" i="29"/>
  <c r="Q20" i="29"/>
  <c r="O20" i="29"/>
  <c r="M20" i="29"/>
  <c r="S19" i="29"/>
  <c r="Q19" i="29"/>
  <c r="O19" i="29"/>
  <c r="M19" i="29"/>
  <c r="C18" i="29"/>
  <c r="C17" i="29"/>
  <c r="S15" i="29"/>
  <c r="Q15" i="29"/>
  <c r="O15" i="29"/>
  <c r="M15" i="29"/>
  <c r="L15" i="29"/>
  <c r="K15" i="29"/>
  <c r="U14" i="29"/>
  <c r="F14" i="29"/>
  <c r="B18" i="33" s="1"/>
  <c r="D18" i="33" s="1"/>
  <c r="E18" i="33" s="1"/>
  <c r="F18" i="33" s="1"/>
  <c r="U13" i="29"/>
  <c r="U12" i="29"/>
  <c r="U11" i="29"/>
  <c r="U10" i="29"/>
  <c r="U9" i="29"/>
  <c r="U8" i="29"/>
  <c r="U7" i="29"/>
  <c r="U6" i="29"/>
  <c r="U15" i="29" s="1"/>
  <c r="K80" i="28" s="1"/>
  <c r="E45" i="28"/>
  <c r="E3" i="28"/>
  <c r="F3" i="28" s="1"/>
  <c r="G3" i="28" s="1"/>
  <c r="H3" i="28" s="1"/>
  <c r="I3" i="28" s="1"/>
  <c r="J3" i="28" s="1"/>
  <c r="K3" i="28" s="1"/>
  <c r="L3" i="28" s="1"/>
  <c r="M3" i="28" s="1"/>
  <c r="E24" i="32" l="1"/>
  <c r="E59" i="32"/>
  <c r="C41" i="32"/>
  <c r="H41" i="32"/>
  <c r="H24" i="32" s="1"/>
  <c r="G41" i="32"/>
  <c r="G24" i="32" s="1"/>
  <c r="G7" i="32"/>
  <c r="G3" i="14" s="1"/>
  <c r="F45" i="28"/>
  <c r="G45" i="28" s="1"/>
  <c r="H45" i="28" s="1"/>
  <c r="I45" i="28" s="1"/>
  <c r="J45" i="28" s="1"/>
  <c r="K45" i="28" s="1"/>
  <c r="L45" i="28" s="1"/>
  <c r="M45" i="28" s="1"/>
  <c r="C3" i="35"/>
  <c r="C4" i="35" s="1"/>
  <c r="Q28" i="29"/>
  <c r="E32" i="32"/>
  <c r="C15" i="32" s="1"/>
  <c r="B3" i="35" s="1"/>
  <c r="C66" i="32"/>
  <c r="G15" i="32" s="1"/>
  <c r="D3" i="35" s="1"/>
  <c r="J12" i="35" s="1"/>
  <c r="M28" i="29"/>
  <c r="C48" i="32"/>
  <c r="U22" i="29"/>
  <c r="U26" i="29"/>
  <c r="E31" i="32"/>
  <c r="C14" i="32" s="1"/>
  <c r="B3" i="34" s="1"/>
  <c r="E48" i="32"/>
  <c r="E51" i="32" s="1"/>
  <c r="U21" i="29"/>
  <c r="T21" i="29" s="1"/>
  <c r="U25" i="29"/>
  <c r="T25" i="29" s="1"/>
  <c r="E65" i="32"/>
  <c r="C65" i="32"/>
  <c r="R25" i="29"/>
  <c r="S28" i="29"/>
  <c r="U28" i="29" s="1"/>
  <c r="R21" i="29"/>
  <c r="U19" i="29"/>
  <c r="T19" i="29" s="1"/>
  <c r="U23" i="29"/>
  <c r="N26" i="29"/>
  <c r="U27" i="29"/>
  <c r="C33" i="32"/>
  <c r="C16" i="32" s="1"/>
  <c r="B3" i="37" s="1"/>
  <c r="D12" i="37" s="1"/>
  <c r="D10" i="37" s="1"/>
  <c r="N21" i="29"/>
  <c r="U20" i="29"/>
  <c r="T20" i="29" s="1"/>
  <c r="P21" i="29"/>
  <c r="U24" i="29"/>
  <c r="P25" i="29"/>
  <c r="E12" i="35"/>
  <c r="G18" i="33"/>
  <c r="C42" i="32"/>
  <c r="E8" i="32" s="1"/>
  <c r="E4" i="14" s="1"/>
  <c r="H38" i="30"/>
  <c r="C24" i="32"/>
  <c r="D27" i="30"/>
  <c r="D21" i="30"/>
  <c r="D24" i="32"/>
  <c r="D15" i="30"/>
  <c r="D24" i="30"/>
  <c r="D9" i="30"/>
  <c r="F24" i="32"/>
  <c r="D58" i="32"/>
  <c r="G33" i="30"/>
  <c r="D33" i="30" s="1"/>
  <c r="G36" i="30"/>
  <c r="H42" i="32" s="1"/>
  <c r="H25" i="32" s="1"/>
  <c r="C59" i="32"/>
  <c r="G6" i="30"/>
  <c r="H6" i="30"/>
  <c r="F38" i="30"/>
  <c r="C8" i="32"/>
  <c r="C7" i="32" l="1"/>
  <c r="C3" i="14" s="1"/>
  <c r="E7" i="32"/>
  <c r="E3" i="14" s="1"/>
  <c r="J10" i="35"/>
  <c r="J23" i="35" s="1"/>
  <c r="J19" i="28" s="1"/>
  <c r="E10" i="35"/>
  <c r="E23" i="35" s="1"/>
  <c r="D11" i="37"/>
  <c r="D24" i="37"/>
  <c r="D12" i="35"/>
  <c r="F14" i="35"/>
  <c r="G14" i="35" s="1"/>
  <c r="H14" i="35" s="1"/>
  <c r="G14" i="32"/>
  <c r="D3" i="34" s="1"/>
  <c r="E14" i="32"/>
  <c r="C3" i="34" s="1"/>
  <c r="G8" i="32"/>
  <c r="G4" i="14" s="1"/>
  <c r="B4" i="35"/>
  <c r="G12" i="35"/>
  <c r="H12" i="35"/>
  <c r="H10" i="35" s="1"/>
  <c r="H23" i="35" s="1"/>
  <c r="I15" i="32"/>
  <c r="K12" i="35"/>
  <c r="B4" i="37"/>
  <c r="D4" i="35"/>
  <c r="E3" i="35"/>
  <c r="E4" i="35" s="1"/>
  <c r="I16" i="32"/>
  <c r="E12" i="37"/>
  <c r="D3" i="37"/>
  <c r="H3" i="37" s="1"/>
  <c r="H4" i="37" s="1"/>
  <c r="C3" i="37"/>
  <c r="C4" i="37" s="1"/>
  <c r="F15" i="37" s="1"/>
  <c r="R22" i="29"/>
  <c r="P22" i="29"/>
  <c r="T22" i="29"/>
  <c r="N22" i="29"/>
  <c r="N25" i="29"/>
  <c r="R26" i="29"/>
  <c r="P26" i="29"/>
  <c r="T26" i="29"/>
  <c r="R27" i="29"/>
  <c r="N27" i="29"/>
  <c r="P27" i="29"/>
  <c r="T27" i="29"/>
  <c r="R20" i="29"/>
  <c r="N20" i="29"/>
  <c r="P20" i="29"/>
  <c r="P24" i="29"/>
  <c r="N24" i="29"/>
  <c r="R24" i="29"/>
  <c r="T24" i="29"/>
  <c r="R19" i="29"/>
  <c r="N19" i="29"/>
  <c r="P19" i="29"/>
  <c r="R23" i="29"/>
  <c r="N23" i="29"/>
  <c r="P23" i="29"/>
  <c r="T23" i="29"/>
  <c r="D21" i="28"/>
  <c r="D13" i="37"/>
  <c r="D12" i="34"/>
  <c r="D10" i="34" s="1"/>
  <c r="B4" i="34"/>
  <c r="F14" i="34" s="1"/>
  <c r="E12" i="34"/>
  <c r="E10" i="34" s="1"/>
  <c r="H18" i="33"/>
  <c r="H3" i="14"/>
  <c r="G39" i="30"/>
  <c r="D42" i="32"/>
  <c r="F4" i="14" s="1"/>
  <c r="D6" i="30"/>
  <c r="F39" i="30"/>
  <c r="D41" i="32"/>
  <c r="D7" i="32"/>
  <c r="D36" i="30"/>
  <c r="C4" i="14"/>
  <c r="I3" i="14"/>
  <c r="H39" i="30"/>
  <c r="F25" i="32"/>
  <c r="D59" i="32"/>
  <c r="H4" i="14" s="1"/>
  <c r="I7" i="32" l="1"/>
  <c r="D13" i="35"/>
  <c r="D10" i="35"/>
  <c r="K10" i="35"/>
  <c r="K23" i="35" s="1"/>
  <c r="K24" i="35" s="1"/>
  <c r="L11" i="15" s="1"/>
  <c r="F18" i="35"/>
  <c r="F19" i="35" s="1"/>
  <c r="F20" i="35" s="1"/>
  <c r="E10" i="37"/>
  <c r="E24" i="37" s="1"/>
  <c r="E21" i="28" s="1"/>
  <c r="G19" i="28"/>
  <c r="G10" i="35"/>
  <c r="G23" i="35" s="1"/>
  <c r="E11" i="37"/>
  <c r="F11" i="37" s="1"/>
  <c r="I8" i="32"/>
  <c r="D4" i="34"/>
  <c r="K12" i="34"/>
  <c r="E3" i="34"/>
  <c r="E4" i="34" s="1"/>
  <c r="F14" i="37"/>
  <c r="G14" i="37" s="1"/>
  <c r="H14" i="37" s="1"/>
  <c r="I14" i="37" s="1"/>
  <c r="J14" i="37" s="1"/>
  <c r="K14" i="37" s="1"/>
  <c r="L14" i="37" s="1"/>
  <c r="M14" i="37" s="1"/>
  <c r="J12" i="34"/>
  <c r="H24" i="35"/>
  <c r="I11" i="15" s="1"/>
  <c r="H19" i="28"/>
  <c r="F24" i="35"/>
  <c r="G11" i="15" s="1"/>
  <c r="G24" i="35"/>
  <c r="H11" i="15" s="1"/>
  <c r="H12" i="37"/>
  <c r="E3" i="37"/>
  <c r="E4" i="37" s="1"/>
  <c r="D4" i="37"/>
  <c r="G12" i="37"/>
  <c r="G10" i="37" s="1"/>
  <c r="G24" i="37" s="1"/>
  <c r="H25" i="35"/>
  <c r="C25" i="37"/>
  <c r="D13" i="15" s="1"/>
  <c r="E25" i="37"/>
  <c r="D25" i="37"/>
  <c r="E13" i="15" s="1"/>
  <c r="H12" i="34"/>
  <c r="G12" i="34"/>
  <c r="C4" i="34"/>
  <c r="I14" i="32"/>
  <c r="E23" i="34"/>
  <c r="E20" i="28" s="1"/>
  <c r="E61" i="28"/>
  <c r="E13" i="35"/>
  <c r="G14" i="34"/>
  <c r="H14" i="34" s="1"/>
  <c r="F18" i="34"/>
  <c r="F19" i="34" s="1"/>
  <c r="F20" i="34" s="1"/>
  <c r="E13" i="37"/>
  <c r="E64" i="28"/>
  <c r="G18" i="35"/>
  <c r="G19" i="35" s="1"/>
  <c r="G20" i="35" s="1"/>
  <c r="D13" i="34"/>
  <c r="D23" i="34"/>
  <c r="D20" i="28" s="1"/>
  <c r="F19" i="37"/>
  <c r="F20" i="37" s="1"/>
  <c r="F21" i="37" s="1"/>
  <c r="G52" i="28"/>
  <c r="G15" i="37"/>
  <c r="F8" i="28"/>
  <c r="F27" i="35"/>
  <c r="I18" i="33"/>
  <c r="I4" i="14"/>
  <c r="D8" i="32"/>
  <c r="D39" i="30"/>
  <c r="H40" i="30" s="1"/>
  <c r="D3" i="14"/>
  <c r="E62" i="28" l="1"/>
  <c r="D11" i="34"/>
  <c r="H23" i="34"/>
  <c r="H20" i="28" s="1"/>
  <c r="H10" i="34"/>
  <c r="I24" i="35"/>
  <c r="J11" i="15" s="1"/>
  <c r="K23" i="34"/>
  <c r="K20" i="28" s="1"/>
  <c r="K10" i="34"/>
  <c r="J24" i="35"/>
  <c r="K11" i="15" s="1"/>
  <c r="K19" i="28"/>
  <c r="J23" i="34"/>
  <c r="J20" i="28" s="1"/>
  <c r="J10" i="34"/>
  <c r="G11" i="37"/>
  <c r="H11" i="37" s="1"/>
  <c r="I11" i="37" s="1"/>
  <c r="J11" i="37" s="1"/>
  <c r="K11" i="37" s="1"/>
  <c r="L11" i="37" s="1"/>
  <c r="M11" i="37" s="1"/>
  <c r="D11" i="35"/>
  <c r="E11" i="35" s="1"/>
  <c r="F11" i="35" s="1"/>
  <c r="G11" i="35" s="1"/>
  <c r="H11" i="35" s="1"/>
  <c r="I11" i="35" s="1"/>
  <c r="J11" i="35" s="1"/>
  <c r="K11" i="35" s="1"/>
  <c r="L11" i="35" s="1"/>
  <c r="M11" i="35" s="1"/>
  <c r="D23" i="35"/>
  <c r="G23" i="34"/>
  <c r="G20" i="28" s="1"/>
  <c r="G10" i="34"/>
  <c r="H10" i="37"/>
  <c r="H24" i="37" s="1"/>
  <c r="E78" i="28"/>
  <c r="K25" i="35"/>
  <c r="F25" i="37"/>
  <c r="G13" i="15" s="1"/>
  <c r="I25" i="35"/>
  <c r="I24" i="34"/>
  <c r="J12" i="15" s="1"/>
  <c r="K24" i="34"/>
  <c r="L12" i="15" s="1"/>
  <c r="J24" i="34"/>
  <c r="K12" i="15" s="1"/>
  <c r="D26" i="37"/>
  <c r="D32" i="37" s="1"/>
  <c r="F25" i="35"/>
  <c r="F30" i="35" s="1"/>
  <c r="F31" i="35" s="1"/>
  <c r="G25" i="35"/>
  <c r="G25" i="37"/>
  <c r="H13" i="15" s="1"/>
  <c r="G21" i="28"/>
  <c r="I3" i="37"/>
  <c r="I4" i="37" s="1"/>
  <c r="E13" i="34"/>
  <c r="F13" i="15"/>
  <c r="E26" i="37"/>
  <c r="G24" i="34"/>
  <c r="H12" i="15" s="1"/>
  <c r="H24" i="34"/>
  <c r="D24" i="34"/>
  <c r="C24" i="34"/>
  <c r="E24" i="34"/>
  <c r="E25" i="34" s="1"/>
  <c r="I26" i="37"/>
  <c r="C26" i="37"/>
  <c r="F28" i="37"/>
  <c r="F10" i="28" s="1"/>
  <c r="F64" i="28"/>
  <c r="F13" i="37"/>
  <c r="F27" i="34"/>
  <c r="H15" i="37"/>
  <c r="H52" i="28"/>
  <c r="G19" i="37"/>
  <c r="G20" i="37" s="1"/>
  <c r="G21" i="37" s="1"/>
  <c r="G28" i="37" s="1"/>
  <c r="G8" i="28"/>
  <c r="G27" i="35"/>
  <c r="G30" i="35" s="1"/>
  <c r="G18" i="34"/>
  <c r="G19" i="34" s="1"/>
  <c r="G20" i="34" s="1"/>
  <c r="G27" i="34" s="1"/>
  <c r="G28" i="34" s="1"/>
  <c r="F13" i="35"/>
  <c r="F61" i="28"/>
  <c r="I14" i="35"/>
  <c r="H18" i="35"/>
  <c r="H19" i="35" s="1"/>
  <c r="H20" i="35" s="1"/>
  <c r="J18" i="33"/>
  <c r="F3" i="14"/>
  <c r="J3" i="14" s="1"/>
  <c r="J7" i="32"/>
  <c r="L6" i="30" s="1"/>
  <c r="P6" i="30" s="1"/>
  <c r="O6" i="30" s="1"/>
  <c r="Q6" i="30" s="1"/>
  <c r="F40" i="30"/>
  <c r="H45" i="30"/>
  <c r="D4" i="14"/>
  <c r="J4" i="14" s="1"/>
  <c r="J8" i="32"/>
  <c r="L7" i="30" s="1"/>
  <c r="P7" i="30" s="1"/>
  <c r="O7" i="30" s="1"/>
  <c r="Q7" i="30" s="1"/>
  <c r="G40" i="30"/>
  <c r="J25" i="35" l="1"/>
  <c r="D19" i="28"/>
  <c r="E77" i="28" s="1"/>
  <c r="C77" i="28" s="1"/>
  <c r="D24" i="35"/>
  <c r="C24" i="35"/>
  <c r="E24" i="35"/>
  <c r="F13" i="34"/>
  <c r="F11" i="34" s="1"/>
  <c r="E11" i="34"/>
  <c r="F24" i="34"/>
  <c r="G12" i="15" s="1"/>
  <c r="E79" i="28"/>
  <c r="H25" i="37"/>
  <c r="F26" i="37"/>
  <c r="F31" i="37" s="1"/>
  <c r="F32" i="37" s="1"/>
  <c r="G31" i="35"/>
  <c r="I25" i="34"/>
  <c r="K25" i="34"/>
  <c r="J25" i="34"/>
  <c r="F62" i="28"/>
  <c r="G26" i="37"/>
  <c r="E31" i="34"/>
  <c r="E12" i="15"/>
  <c r="C25" i="34"/>
  <c r="D12" i="15"/>
  <c r="E32" i="37"/>
  <c r="F12" i="15"/>
  <c r="I12" i="15"/>
  <c r="F9" i="28"/>
  <c r="F28" i="34"/>
  <c r="H25" i="34"/>
  <c r="G25" i="34"/>
  <c r="D25" i="34"/>
  <c r="D31" i="34" s="1"/>
  <c r="C32" i="37"/>
  <c r="G13" i="35"/>
  <c r="G61" i="28"/>
  <c r="G62" i="28"/>
  <c r="G13" i="34"/>
  <c r="G11" i="34" s="1"/>
  <c r="I18" i="35"/>
  <c r="I19" i="35" s="1"/>
  <c r="I20" i="35" s="1"/>
  <c r="J14" i="35"/>
  <c r="G13" i="37"/>
  <c r="G64" i="28"/>
  <c r="G9" i="28"/>
  <c r="G10" i="28"/>
  <c r="G31" i="37"/>
  <c r="I14" i="34"/>
  <c r="H18" i="34"/>
  <c r="H19" i="34" s="1"/>
  <c r="H20" i="34" s="1"/>
  <c r="H27" i="35"/>
  <c r="H30" i="35" s="1"/>
  <c r="H31" i="35" s="1"/>
  <c r="H8" i="28"/>
  <c r="H19" i="37"/>
  <c r="H20" i="37" s="1"/>
  <c r="H21" i="37" s="1"/>
  <c r="H28" i="37" s="1"/>
  <c r="I15" i="37"/>
  <c r="I52" i="28"/>
  <c r="K18" i="33"/>
  <c r="L14" i="30"/>
  <c r="P14" i="30" s="1"/>
  <c r="D45" i="30"/>
  <c r="H44" i="30"/>
  <c r="I45" i="30"/>
  <c r="O14" i="30" l="1"/>
  <c r="Q14" i="30" s="1"/>
  <c r="P15" i="30"/>
  <c r="M14" i="30"/>
  <c r="M12" i="30"/>
  <c r="L15" i="30"/>
  <c r="M13" i="30"/>
  <c r="G47" i="32"/>
  <c r="G30" i="32" s="1"/>
  <c r="G27" i="32" s="1"/>
  <c r="E64" i="32"/>
  <c r="E61" i="32" s="1"/>
  <c r="G43" i="32"/>
  <c r="G26" i="32" s="1"/>
  <c r="G23" i="32" s="1"/>
  <c r="H43" i="32"/>
  <c r="H26" i="32" s="1"/>
  <c r="H23" i="32" s="1"/>
  <c r="H47" i="32"/>
  <c r="H30" i="32" s="1"/>
  <c r="H27" i="32" s="1"/>
  <c r="I13" i="15"/>
  <c r="H26" i="37"/>
  <c r="D11" i="15"/>
  <c r="C25" i="35"/>
  <c r="C31" i="35" s="1"/>
  <c r="F25" i="34"/>
  <c r="F30" i="34" s="1"/>
  <c r="F31" i="34" s="1"/>
  <c r="E11" i="15"/>
  <c r="D25" i="35"/>
  <c r="D31" i="35" s="1"/>
  <c r="E25" i="35"/>
  <c r="E31" i="35" s="1"/>
  <c r="F11" i="15"/>
  <c r="C79" i="28"/>
  <c r="G32" i="37"/>
  <c r="C31" i="34"/>
  <c r="H30" i="34"/>
  <c r="H31" i="34" s="1"/>
  <c r="G30" i="34"/>
  <c r="G31" i="34" s="1"/>
  <c r="H27" i="34"/>
  <c r="H28" i="34" s="1"/>
  <c r="C78" i="28"/>
  <c r="H62" i="28"/>
  <c r="H13" i="34"/>
  <c r="H11" i="34" s="1"/>
  <c r="H64" i="28"/>
  <c r="H13" i="37"/>
  <c r="H31" i="37"/>
  <c r="H32" i="37" s="1"/>
  <c r="H10" i="28"/>
  <c r="I18" i="34"/>
  <c r="I19" i="34" s="1"/>
  <c r="I20" i="34" s="1"/>
  <c r="I30" i="34" s="1"/>
  <c r="J14" i="34"/>
  <c r="K14" i="35"/>
  <c r="J18" i="35"/>
  <c r="J19" i="35" s="1"/>
  <c r="J20" i="35" s="1"/>
  <c r="I19" i="37"/>
  <c r="I20" i="37" s="1"/>
  <c r="I21" i="37" s="1"/>
  <c r="I28" i="37" s="1"/>
  <c r="J15" i="37"/>
  <c r="J52" i="28"/>
  <c r="I27" i="35"/>
  <c r="I30" i="35" s="1"/>
  <c r="I31" i="35" s="1"/>
  <c r="I8" i="28"/>
  <c r="H13" i="35"/>
  <c r="H61" i="28"/>
  <c r="L18" i="33"/>
  <c r="C60" i="32"/>
  <c r="C47" i="32"/>
  <c r="C43" i="32"/>
  <c r="E9" i="32" s="1"/>
  <c r="G44" i="32"/>
  <c r="E30" i="32"/>
  <c r="E27" i="32" s="1"/>
  <c r="E26" i="32"/>
  <c r="E23" i="32" s="1"/>
  <c r="D47" i="32"/>
  <c r="D64" i="32"/>
  <c r="H44" i="32"/>
  <c r="F30" i="32"/>
  <c r="F27" i="32" s="1"/>
  <c r="D44" i="30"/>
  <c r="E60" i="32"/>
  <c r="E57" i="32" s="1"/>
  <c r="F60" i="32"/>
  <c r="F57" i="32" s="1"/>
  <c r="F26" i="32"/>
  <c r="F23" i="32" s="1"/>
  <c r="C26" i="32"/>
  <c r="C64" i="32"/>
  <c r="D26" i="32"/>
  <c r="C30" i="32"/>
  <c r="F64" i="32"/>
  <c r="F61" i="32" s="1"/>
  <c r="D30" i="32"/>
  <c r="D60" i="32"/>
  <c r="D43" i="32"/>
  <c r="E13" i="32" l="1"/>
  <c r="H34" i="32"/>
  <c r="R15" i="30"/>
  <c r="G34" i="32"/>
  <c r="H40" i="32"/>
  <c r="G40" i="32"/>
  <c r="G13" i="32"/>
  <c r="G5" i="33" s="1"/>
  <c r="G6" i="33" s="1"/>
  <c r="E68" i="32"/>
  <c r="G9" i="32"/>
  <c r="H9" i="28"/>
  <c r="I27" i="34"/>
  <c r="I28" i="34" s="1"/>
  <c r="I31" i="34"/>
  <c r="I13" i="35"/>
  <c r="I61" i="28"/>
  <c r="K14" i="34"/>
  <c r="J18" i="34"/>
  <c r="J19" i="34" s="1"/>
  <c r="J20" i="34" s="1"/>
  <c r="J30" i="34" s="1"/>
  <c r="I31" i="37"/>
  <c r="I32" i="37" s="1"/>
  <c r="I10" i="28"/>
  <c r="K15" i="37"/>
  <c r="K52" i="28"/>
  <c r="J19" i="37"/>
  <c r="J20" i="37" s="1"/>
  <c r="J21" i="37" s="1"/>
  <c r="J28" i="37" s="1"/>
  <c r="I13" i="37"/>
  <c r="I64" i="28"/>
  <c r="J27" i="35"/>
  <c r="J30" i="35" s="1"/>
  <c r="J31" i="35" s="1"/>
  <c r="J8" i="28"/>
  <c r="I13" i="34"/>
  <c r="I11" i="34" s="1"/>
  <c r="I62" i="28"/>
  <c r="L14" i="35"/>
  <c r="K18" i="35"/>
  <c r="K19" i="35" s="1"/>
  <c r="K20" i="35" s="1"/>
  <c r="M18" i="33"/>
  <c r="E34" i="32"/>
  <c r="G51" i="32"/>
  <c r="D13" i="32"/>
  <c r="D5" i="33" s="1"/>
  <c r="D27" i="32"/>
  <c r="F68" i="32"/>
  <c r="C40" i="32"/>
  <c r="C27" i="32"/>
  <c r="C13" i="32"/>
  <c r="C5" i="33" s="1"/>
  <c r="C6" i="33" s="1"/>
  <c r="C9" i="32"/>
  <c r="C23" i="32"/>
  <c r="D61" i="32"/>
  <c r="H13" i="32"/>
  <c r="C44" i="32"/>
  <c r="D40" i="32"/>
  <c r="C61" i="32"/>
  <c r="D57" i="32"/>
  <c r="D9" i="32"/>
  <c r="D23" i="32"/>
  <c r="F34" i="32"/>
  <c r="C57" i="32"/>
  <c r="H51" i="32"/>
  <c r="D44" i="32"/>
  <c r="F13" i="32"/>
  <c r="G10" i="32" l="1"/>
  <c r="K14" i="33"/>
  <c r="K12" i="33" s="1"/>
  <c r="K26" i="33" s="1"/>
  <c r="K18" i="28" s="1"/>
  <c r="J14" i="33"/>
  <c r="J12" i="33" s="1"/>
  <c r="J26" i="33" s="1"/>
  <c r="J27" i="33" s="1"/>
  <c r="K9" i="15" s="1"/>
  <c r="D34" i="32"/>
  <c r="H10" i="32"/>
  <c r="H5" i="33"/>
  <c r="H6" i="33" s="1"/>
  <c r="I9" i="28"/>
  <c r="F10" i="32"/>
  <c r="F5" i="33"/>
  <c r="F6" i="33" s="1"/>
  <c r="D6" i="33"/>
  <c r="F16" i="33" s="1"/>
  <c r="E14" i="33"/>
  <c r="D14" i="33"/>
  <c r="D12" i="33" s="1"/>
  <c r="E10" i="32"/>
  <c r="E5" i="33"/>
  <c r="J27" i="34"/>
  <c r="J28" i="34" s="1"/>
  <c r="L14" i="34"/>
  <c r="K18" i="34"/>
  <c r="K19" i="34" s="1"/>
  <c r="K20" i="34" s="1"/>
  <c r="K30" i="34" s="1"/>
  <c r="J62" i="28"/>
  <c r="J13" i="34"/>
  <c r="J11" i="34" s="1"/>
  <c r="K8" i="28"/>
  <c r="K27" i="35"/>
  <c r="K30" i="35" s="1"/>
  <c r="K31" i="35" s="1"/>
  <c r="K19" i="37"/>
  <c r="K20" i="37" s="1"/>
  <c r="K21" i="37" s="1"/>
  <c r="K28" i="37" s="1"/>
  <c r="L52" i="28"/>
  <c r="L15" i="37"/>
  <c r="J13" i="35"/>
  <c r="J61" i="28"/>
  <c r="J31" i="37"/>
  <c r="J32" i="37" s="1"/>
  <c r="J10" i="28"/>
  <c r="M14" i="35"/>
  <c r="M18" i="35" s="1"/>
  <c r="M19" i="35" s="1"/>
  <c r="M20" i="35" s="1"/>
  <c r="L18" i="35"/>
  <c r="L19" i="35" s="1"/>
  <c r="L20" i="35" s="1"/>
  <c r="J64" i="28"/>
  <c r="J13" i="37"/>
  <c r="J31" i="34"/>
  <c r="D68" i="32"/>
  <c r="C34" i="32"/>
  <c r="G5" i="14"/>
  <c r="G6" i="14" s="1"/>
  <c r="G6" i="32"/>
  <c r="G17" i="32" s="1"/>
  <c r="I9" i="32"/>
  <c r="I6" i="32" s="1"/>
  <c r="C5" i="14"/>
  <c r="C6" i="32"/>
  <c r="H5" i="14"/>
  <c r="H6" i="14" s="1"/>
  <c r="H6" i="32"/>
  <c r="H17" i="32" s="1"/>
  <c r="D51" i="32"/>
  <c r="C10" i="32"/>
  <c r="I13" i="32"/>
  <c r="I10" i="32" s="1"/>
  <c r="D5" i="14"/>
  <c r="J9" i="32"/>
  <c r="D6" i="32"/>
  <c r="C68" i="32"/>
  <c r="E5" i="14"/>
  <c r="E6" i="14" s="1"/>
  <c r="E6" i="32"/>
  <c r="F5" i="14"/>
  <c r="F6" i="14" s="1"/>
  <c r="F6" i="32"/>
  <c r="C51" i="32"/>
  <c r="D10" i="32"/>
  <c r="J13" i="32"/>
  <c r="J18" i="28" l="1"/>
  <c r="I27" i="33"/>
  <c r="I28" i="33" s="1"/>
  <c r="K27" i="33"/>
  <c r="L9" i="15" s="1"/>
  <c r="F17" i="32"/>
  <c r="D13" i="33"/>
  <c r="D26" i="33"/>
  <c r="E12" i="33"/>
  <c r="E26" i="33" s="1"/>
  <c r="E18" i="28" s="1"/>
  <c r="J28" i="33"/>
  <c r="E17" i="32"/>
  <c r="J5" i="33"/>
  <c r="J6" i="33" s="1"/>
  <c r="J9" i="28"/>
  <c r="G49" i="28"/>
  <c r="G16" i="33"/>
  <c r="H16" i="33" s="1"/>
  <c r="F21" i="33"/>
  <c r="F22" i="33" s="1"/>
  <c r="F23" i="33" s="1"/>
  <c r="F30" i="33" s="1"/>
  <c r="D15" i="33"/>
  <c r="D18" i="28"/>
  <c r="I5" i="33"/>
  <c r="I6" i="33" s="1"/>
  <c r="E6" i="33"/>
  <c r="I17" i="32"/>
  <c r="I18" i="32" s="1"/>
  <c r="K27" i="34"/>
  <c r="K28" i="34" s="1"/>
  <c r="L27" i="35"/>
  <c r="L30" i="35" s="1"/>
  <c r="L31" i="35" s="1"/>
  <c r="L8" i="28"/>
  <c r="M27" i="35"/>
  <c r="M28" i="35" s="1"/>
  <c r="M8" i="28"/>
  <c r="K13" i="35"/>
  <c r="K61" i="28"/>
  <c r="K31" i="34"/>
  <c r="K13" i="37"/>
  <c r="K64" i="28"/>
  <c r="M15" i="37"/>
  <c r="M19" i="37" s="1"/>
  <c r="M20" i="37" s="1"/>
  <c r="M21" i="37" s="1"/>
  <c r="M28" i="37" s="1"/>
  <c r="L19" i="37"/>
  <c r="L20" i="37" s="1"/>
  <c r="L21" i="37" s="1"/>
  <c r="L28" i="37" s="1"/>
  <c r="M52" i="28"/>
  <c r="M14" i="34"/>
  <c r="M18" i="34" s="1"/>
  <c r="M19" i="34" s="1"/>
  <c r="M20" i="34" s="1"/>
  <c r="M27" i="34" s="1"/>
  <c r="L18" i="34"/>
  <c r="L19" i="34" s="1"/>
  <c r="L20" i="34" s="1"/>
  <c r="L30" i="34" s="1"/>
  <c r="K31" i="37"/>
  <c r="K32" i="37" s="1"/>
  <c r="K10" i="28"/>
  <c r="K62" i="28"/>
  <c r="K13" i="34"/>
  <c r="K11" i="34" s="1"/>
  <c r="H14" i="14"/>
  <c r="G14" i="14"/>
  <c r="K14" i="14"/>
  <c r="J14" i="14"/>
  <c r="D17" i="32"/>
  <c r="F13" i="29"/>
  <c r="J10" i="32"/>
  <c r="L8" i="30"/>
  <c r="J6" i="32"/>
  <c r="C17" i="32"/>
  <c r="J5" i="14"/>
  <c r="J6" i="14" s="1"/>
  <c r="D6" i="14"/>
  <c r="I5" i="14"/>
  <c r="I6" i="14" s="1"/>
  <c r="C6" i="14"/>
  <c r="J9" i="15" l="1"/>
  <c r="K28" i="33"/>
  <c r="J12" i="14"/>
  <c r="J26" i="14" s="1"/>
  <c r="J17" i="28" s="1"/>
  <c r="I6" i="38" s="1"/>
  <c r="H12" i="14"/>
  <c r="H26" i="14" s="1"/>
  <c r="E18" i="32"/>
  <c r="K12" i="14"/>
  <c r="K26" i="14" s="1"/>
  <c r="K17" i="28" s="1"/>
  <c r="J6" i="38" s="1"/>
  <c r="C18" i="32"/>
  <c r="F27" i="28" s="1"/>
  <c r="G12" i="14"/>
  <c r="G26" i="14" s="1"/>
  <c r="G18" i="32"/>
  <c r="E13" i="33"/>
  <c r="F13" i="33" s="1"/>
  <c r="F16" i="14"/>
  <c r="G47" i="28" s="1"/>
  <c r="K9" i="28"/>
  <c r="F31" i="33"/>
  <c r="F7" i="28"/>
  <c r="H49" i="28"/>
  <c r="G21" i="33"/>
  <c r="G22" i="33" s="1"/>
  <c r="G23" i="33" s="1"/>
  <c r="G30" i="33" s="1"/>
  <c r="D27" i="33"/>
  <c r="E9" i="15" s="1"/>
  <c r="C27" i="33"/>
  <c r="D9" i="15" s="1"/>
  <c r="E27" i="33"/>
  <c r="E15" i="33"/>
  <c r="E59" i="28"/>
  <c r="G14" i="33"/>
  <c r="G12" i="33" s="1"/>
  <c r="G26" i="33" s="1"/>
  <c r="H14" i="33"/>
  <c r="D7" i="39"/>
  <c r="L27" i="34"/>
  <c r="L28" i="34" s="1"/>
  <c r="L62" i="28"/>
  <c r="L13" i="34"/>
  <c r="L11" i="34" s="1"/>
  <c r="L31" i="34"/>
  <c r="M29" i="37"/>
  <c r="M10" i="28"/>
  <c r="M29" i="35"/>
  <c r="M30" i="35" s="1"/>
  <c r="M31" i="35" s="1"/>
  <c r="B32" i="35" s="1"/>
  <c r="M28" i="34"/>
  <c r="M9" i="28"/>
  <c r="L31" i="37"/>
  <c r="L32" i="37" s="1"/>
  <c r="L10" i="28"/>
  <c r="L13" i="37"/>
  <c r="L64" i="28"/>
  <c r="L61" i="28"/>
  <c r="L13" i="35"/>
  <c r="E14" i="14"/>
  <c r="D14" i="14"/>
  <c r="D12" i="14" s="1"/>
  <c r="J17" i="32"/>
  <c r="L9" i="30"/>
  <c r="M8" i="30" s="1"/>
  <c r="P8" i="30"/>
  <c r="O8" i="30" s="1"/>
  <c r="Q8" i="30" s="1"/>
  <c r="F18" i="29"/>
  <c r="F17" i="29"/>
  <c r="K27" i="28" l="1"/>
  <c r="J8" i="38" s="1"/>
  <c r="I27" i="28"/>
  <c r="H8" i="38" s="1"/>
  <c r="G27" i="14"/>
  <c r="G13" i="33"/>
  <c r="I27" i="14"/>
  <c r="J7" i="15" s="1"/>
  <c r="J16" i="15" s="1"/>
  <c r="J24" i="15" s="1"/>
  <c r="I25" i="28" s="1"/>
  <c r="H7" i="38" s="1"/>
  <c r="K27" i="14"/>
  <c r="K28" i="14" s="1"/>
  <c r="J27" i="14"/>
  <c r="J28" i="14" s="1"/>
  <c r="H27" i="14"/>
  <c r="H28" i="14" s="1"/>
  <c r="H12" i="33"/>
  <c r="H26" i="33" s="1"/>
  <c r="H18" i="28" s="1"/>
  <c r="E8" i="38"/>
  <c r="E90" i="28"/>
  <c r="F27" i="14"/>
  <c r="G7" i="15" s="1"/>
  <c r="H17" i="28"/>
  <c r="E12" i="14"/>
  <c r="E26" i="14" s="1"/>
  <c r="E17" i="28" s="1"/>
  <c r="D6" i="38" s="1"/>
  <c r="D13" i="14"/>
  <c r="D26" i="14"/>
  <c r="D17" i="28" s="1"/>
  <c r="K86" i="28"/>
  <c r="G16" i="14"/>
  <c r="H47" i="28" s="1"/>
  <c r="C28" i="33"/>
  <c r="C34" i="33" s="1"/>
  <c r="D28" i="33"/>
  <c r="D34" i="33" s="1"/>
  <c r="I16" i="33"/>
  <c r="I49" i="28"/>
  <c r="H21" i="33"/>
  <c r="H22" i="33" s="1"/>
  <c r="H23" i="33" s="1"/>
  <c r="H30" i="33" s="1"/>
  <c r="G31" i="33"/>
  <c r="G7" i="28"/>
  <c r="F9" i="15"/>
  <c r="E28" i="33"/>
  <c r="F15" i="33"/>
  <c r="G59" i="28" s="1"/>
  <c r="F59" i="28"/>
  <c r="G18" i="28"/>
  <c r="H7" i="15"/>
  <c r="G28" i="14"/>
  <c r="L9" i="28"/>
  <c r="M13" i="35"/>
  <c r="M61" i="28"/>
  <c r="M13" i="34"/>
  <c r="M11" i="34" s="1"/>
  <c r="M62" i="28"/>
  <c r="B33" i="35"/>
  <c r="M13" i="37"/>
  <c r="M64" i="28"/>
  <c r="M29" i="34"/>
  <c r="M30" i="34" s="1"/>
  <c r="M31" i="34" s="1"/>
  <c r="B32" i="34" s="1"/>
  <c r="M30" i="37"/>
  <c r="M31" i="37" s="1"/>
  <c r="M32" i="37" s="1"/>
  <c r="D15" i="14"/>
  <c r="R9" i="30"/>
  <c r="P9" i="30"/>
  <c r="Q9" i="30" s="1"/>
  <c r="B18" i="14" s="1"/>
  <c r="D18" i="14" s="1"/>
  <c r="E18" i="14" s="1"/>
  <c r="F18" i="14" s="1"/>
  <c r="G18" i="14" s="1"/>
  <c r="H18" i="14" s="1"/>
  <c r="I18" i="14" s="1"/>
  <c r="J18" i="14" s="1"/>
  <c r="K18" i="14" s="1"/>
  <c r="L18" i="14" s="1"/>
  <c r="M18" i="14" s="1"/>
  <c r="M6" i="30"/>
  <c r="M7" i="30"/>
  <c r="L7" i="15" l="1"/>
  <c r="L16" i="15" s="1"/>
  <c r="L24" i="15" s="1"/>
  <c r="K25" i="28" s="1"/>
  <c r="J7" i="38" s="1"/>
  <c r="C27" i="14"/>
  <c r="I28" i="14"/>
  <c r="I7" i="15"/>
  <c r="K7" i="15"/>
  <c r="K16" i="15" s="1"/>
  <c r="K24" i="15" s="1"/>
  <c r="J25" i="28" s="1"/>
  <c r="I7" i="38" s="1"/>
  <c r="I9" i="38" s="1"/>
  <c r="I21" i="38" s="1"/>
  <c r="G6" i="38"/>
  <c r="F28" i="14"/>
  <c r="E27" i="14"/>
  <c r="E28" i="14" s="1"/>
  <c r="E34" i="14" s="1"/>
  <c r="H13" i="33"/>
  <c r="I13" i="33" s="1"/>
  <c r="J13" i="33" s="1"/>
  <c r="K13" i="33" s="1"/>
  <c r="L13" i="33" s="1"/>
  <c r="M13" i="33" s="1"/>
  <c r="E13" i="14"/>
  <c r="F13" i="14" s="1"/>
  <c r="G13" i="14" s="1"/>
  <c r="H13" i="14" s="1"/>
  <c r="I13" i="14" s="1"/>
  <c r="J13" i="14" s="1"/>
  <c r="K13" i="14" s="1"/>
  <c r="L13" i="14" s="1"/>
  <c r="M13" i="14" s="1"/>
  <c r="F6" i="38"/>
  <c r="E75" i="28"/>
  <c r="C6" i="38"/>
  <c r="E72" i="28"/>
  <c r="D12" i="39"/>
  <c r="D27" i="14"/>
  <c r="D28" i="14" s="1"/>
  <c r="D34" i="14" s="1"/>
  <c r="H16" i="14"/>
  <c r="I47" i="28" s="1"/>
  <c r="H9" i="38"/>
  <c r="H21" i="38" s="1"/>
  <c r="I28" i="28"/>
  <c r="I34" i="28" s="1"/>
  <c r="K28" i="28"/>
  <c r="K34" i="28" s="1"/>
  <c r="J9" i="38"/>
  <c r="J21" i="38" s="1"/>
  <c r="G15" i="33"/>
  <c r="H15" i="33" s="1"/>
  <c r="H31" i="33"/>
  <c r="H7" i="28"/>
  <c r="J49" i="28"/>
  <c r="J16" i="33"/>
  <c r="I21" i="33"/>
  <c r="I22" i="33" s="1"/>
  <c r="I23" i="33" s="1"/>
  <c r="E34" i="33"/>
  <c r="H27" i="33"/>
  <c r="G27" i="33"/>
  <c r="G28" i="33" s="1"/>
  <c r="F27" i="33"/>
  <c r="D7" i="15"/>
  <c r="D16" i="15" s="1"/>
  <c r="C28" i="14"/>
  <c r="B34" i="37"/>
  <c r="B33" i="37"/>
  <c r="B33" i="34"/>
  <c r="F21" i="14"/>
  <c r="F22" i="14" s="1"/>
  <c r="F23" i="14" s="1"/>
  <c r="G21" i="14"/>
  <c r="G22" i="14" s="1"/>
  <c r="G23" i="14" s="1"/>
  <c r="E57" i="28"/>
  <c r="E15" i="14"/>
  <c r="F34" i="14" l="1"/>
  <c r="F7" i="15"/>
  <c r="F16" i="15" s="1"/>
  <c r="F24" i="15" s="1"/>
  <c r="E25" i="28" s="1"/>
  <c r="D7" i="38" s="1"/>
  <c r="D9" i="38" s="1"/>
  <c r="I16" i="14"/>
  <c r="I21" i="14" s="1"/>
  <c r="I22" i="14" s="1"/>
  <c r="I23" i="14" s="1"/>
  <c r="J28" i="28"/>
  <c r="J34" i="28" s="1"/>
  <c r="D24" i="15"/>
  <c r="C25" i="28" s="1"/>
  <c r="B7" i="38" s="1"/>
  <c r="H21" i="14"/>
  <c r="H22" i="14" s="1"/>
  <c r="H23" i="14" s="1"/>
  <c r="H30" i="14" s="1"/>
  <c r="E82" i="28"/>
  <c r="C72" i="28"/>
  <c r="E7" i="15"/>
  <c r="E16" i="15" s="1"/>
  <c r="E24" i="15" s="1"/>
  <c r="D25" i="28" s="1"/>
  <c r="C7" i="38" s="1"/>
  <c r="H59" i="28"/>
  <c r="K49" i="28"/>
  <c r="K16" i="33"/>
  <c r="J21" i="33"/>
  <c r="J22" i="33" s="1"/>
  <c r="J23" i="33" s="1"/>
  <c r="I33" i="33"/>
  <c r="I34" i="33" s="1"/>
  <c r="I30" i="33"/>
  <c r="I9" i="15"/>
  <c r="I16" i="15" s="1"/>
  <c r="I24" i="15" s="1"/>
  <c r="H25" i="28" s="1"/>
  <c r="G7" i="38" s="1"/>
  <c r="H28" i="33"/>
  <c r="G33" i="33"/>
  <c r="G34" i="33" s="1"/>
  <c r="G9" i="15"/>
  <c r="G16" i="15" s="1"/>
  <c r="G24" i="15" s="1"/>
  <c r="F25" i="28" s="1"/>
  <c r="E7" i="38" s="1"/>
  <c r="F28" i="33"/>
  <c r="H9" i="15"/>
  <c r="H16" i="15" s="1"/>
  <c r="H24" i="15" s="1"/>
  <c r="G25" i="28" s="1"/>
  <c r="F7" i="38" s="1"/>
  <c r="I59" i="28"/>
  <c r="I15" i="33"/>
  <c r="E68" i="28"/>
  <c r="C34" i="14"/>
  <c r="G30" i="14"/>
  <c r="G34" i="14"/>
  <c r="E28" i="28"/>
  <c r="E34" i="28" s="1"/>
  <c r="F30" i="14"/>
  <c r="F15" i="14"/>
  <c r="F57" i="28"/>
  <c r="F68" i="28" s="1"/>
  <c r="J47" i="28" l="1"/>
  <c r="J16" i="14"/>
  <c r="J21" i="14" s="1"/>
  <c r="J22" i="14" s="1"/>
  <c r="J23" i="14" s="1"/>
  <c r="D17" i="15"/>
  <c r="H34" i="14"/>
  <c r="E84" i="28"/>
  <c r="E89" i="28" s="1"/>
  <c r="E91" i="28" s="1"/>
  <c r="D28" i="28"/>
  <c r="D35" i="28" s="1"/>
  <c r="C25" i="15"/>
  <c r="J30" i="33"/>
  <c r="J33" i="33"/>
  <c r="J34" i="33" s="1"/>
  <c r="L49" i="28"/>
  <c r="L16" i="33"/>
  <c r="K21" i="33"/>
  <c r="K22" i="33" s="1"/>
  <c r="K23" i="33" s="1"/>
  <c r="I31" i="33"/>
  <c r="I7" i="28"/>
  <c r="F33" i="33"/>
  <c r="F34" i="33" s="1"/>
  <c r="C75" i="28"/>
  <c r="D13" i="39"/>
  <c r="D14" i="39" s="1"/>
  <c r="H33" i="33"/>
  <c r="H34" i="33" s="1"/>
  <c r="F9" i="38"/>
  <c r="F21" i="38" s="1"/>
  <c r="G28" i="28"/>
  <c r="G34" i="28" s="1"/>
  <c r="M7" i="38"/>
  <c r="J15" i="33"/>
  <c r="J59" i="28"/>
  <c r="E35" i="28"/>
  <c r="I30" i="14"/>
  <c r="I34" i="14"/>
  <c r="F5" i="28"/>
  <c r="F33" i="14"/>
  <c r="F31" i="14"/>
  <c r="F32" i="28" s="1"/>
  <c r="G5" i="28"/>
  <c r="G12" i="28" s="1"/>
  <c r="G33" i="14"/>
  <c r="G31" i="14"/>
  <c r="G32" i="28" s="1"/>
  <c r="H5" i="28"/>
  <c r="H12" i="28" s="1"/>
  <c r="H33" i="14"/>
  <c r="H31" i="14"/>
  <c r="H32" i="28" s="1"/>
  <c r="C9" i="38"/>
  <c r="G15" i="14"/>
  <c r="G57" i="28"/>
  <c r="K47" i="28" l="1"/>
  <c r="K16" i="14"/>
  <c r="L16" i="14" s="1"/>
  <c r="D34" i="28"/>
  <c r="M49" i="28"/>
  <c r="M16" i="33"/>
  <c r="M21" i="33" s="1"/>
  <c r="M22" i="33" s="1"/>
  <c r="M23" i="33" s="1"/>
  <c r="M30" i="33" s="1"/>
  <c r="L21" i="33"/>
  <c r="L22" i="33" s="1"/>
  <c r="L23" i="33" s="1"/>
  <c r="K30" i="33"/>
  <c r="K33" i="33"/>
  <c r="K34" i="33" s="1"/>
  <c r="J31" i="33"/>
  <c r="J7" i="28"/>
  <c r="H28" i="28"/>
  <c r="H34" i="28" s="1"/>
  <c r="G9" i="38"/>
  <c r="G21" i="38" s="1"/>
  <c r="E9" i="38"/>
  <c r="E21" i="38" s="1"/>
  <c r="F28" i="28"/>
  <c r="K15" i="33"/>
  <c r="K59" i="28"/>
  <c r="G68" i="28"/>
  <c r="F12" i="28"/>
  <c r="G14" i="28"/>
  <c r="G35" i="28" s="1"/>
  <c r="G31" i="28"/>
  <c r="F30" i="38" s="1"/>
  <c r="J30" i="14"/>
  <c r="J34" i="14"/>
  <c r="H14" i="28"/>
  <c r="H31" i="28"/>
  <c r="G30" i="38" s="1"/>
  <c r="I5" i="28"/>
  <c r="I12" i="28" s="1"/>
  <c r="I33" i="14"/>
  <c r="I31" i="14"/>
  <c r="I32" i="28" s="1"/>
  <c r="H15" i="14"/>
  <c r="H57" i="28"/>
  <c r="H68" i="28" s="1"/>
  <c r="K21" i="14"/>
  <c r="K22" i="14" s="1"/>
  <c r="K23" i="14" s="1"/>
  <c r="L47" i="28" l="1"/>
  <c r="F34" i="28"/>
  <c r="H35" i="28"/>
  <c r="L30" i="33"/>
  <c r="L33" i="33"/>
  <c r="L34" i="33" s="1"/>
  <c r="K31" i="33"/>
  <c r="K7" i="28"/>
  <c r="M31" i="33"/>
  <c r="M32" i="33" s="1"/>
  <c r="M33" i="33" s="1"/>
  <c r="M34" i="33" s="1"/>
  <c r="M7" i="28"/>
  <c r="L15" i="33"/>
  <c r="L59" i="28"/>
  <c r="M6" i="38"/>
  <c r="I14" i="28"/>
  <c r="I35" i="28" s="1"/>
  <c r="I31" i="28"/>
  <c r="H30" i="38" s="1"/>
  <c r="K30" i="14"/>
  <c r="K34" i="14"/>
  <c r="J5" i="28"/>
  <c r="J12" i="28" s="1"/>
  <c r="J33" i="14"/>
  <c r="J31" i="14"/>
  <c r="J32" i="28" s="1"/>
  <c r="F31" i="28"/>
  <c r="F14" i="28"/>
  <c r="I15" i="14"/>
  <c r="I57" i="28"/>
  <c r="I68" i="28" s="1"/>
  <c r="L21" i="14"/>
  <c r="L22" i="14" s="1"/>
  <c r="L23" i="14" s="1"/>
  <c r="M47" i="28"/>
  <c r="M16" i="14"/>
  <c r="B36" i="33" l="1"/>
  <c r="B35" i="33"/>
  <c r="L31" i="33"/>
  <c r="L7" i="28"/>
  <c r="M15" i="33"/>
  <c r="M59" i="28"/>
  <c r="F35" i="28"/>
  <c r="J14" i="28"/>
  <c r="J35" i="28" s="1"/>
  <c r="J31" i="28"/>
  <c r="I30" i="38" s="1"/>
  <c r="E30" i="38"/>
  <c r="L30" i="14"/>
  <c r="L34" i="14"/>
  <c r="K5" i="28"/>
  <c r="K33" i="14"/>
  <c r="K31" i="14"/>
  <c r="K32" i="28" s="1"/>
  <c r="J15" i="14"/>
  <c r="J57" i="28"/>
  <c r="M21" i="14"/>
  <c r="M22" i="14" s="1"/>
  <c r="M23" i="14" s="1"/>
  <c r="M30" i="14" s="1"/>
  <c r="J68" i="28" l="1"/>
  <c r="L33" i="14"/>
  <c r="L31" i="14"/>
  <c r="L32" i="28" s="1"/>
  <c r="L5" i="28"/>
  <c r="L12" i="28" s="1"/>
  <c r="L14" i="28" s="1"/>
  <c r="L35" i="28" s="1"/>
  <c r="K12" i="28"/>
  <c r="K15" i="14"/>
  <c r="K57" i="28"/>
  <c r="K68" i="28" s="1"/>
  <c r="M31" i="14"/>
  <c r="M5" i="28"/>
  <c r="M12" i="28" s="1"/>
  <c r="M31" i="28" s="1"/>
  <c r="L30" i="38" s="1"/>
  <c r="M32" i="28" l="1"/>
  <c r="L31" i="28"/>
  <c r="K30" i="38" s="1"/>
  <c r="K14" i="28"/>
  <c r="K31" i="28"/>
  <c r="L15" i="14"/>
  <c r="L57" i="28"/>
  <c r="L68" i="28" s="1"/>
  <c r="M32" i="14"/>
  <c r="M33" i="28" s="1"/>
  <c r="M13" i="28" l="1"/>
  <c r="J30" i="38"/>
  <c r="M30" i="38" s="1"/>
  <c r="K35" i="28"/>
  <c r="I41" i="28"/>
  <c r="M33" i="14"/>
  <c r="M34" i="14" s="1"/>
  <c r="B35" i="14" s="1"/>
  <c r="L37" i="38"/>
  <c r="M15" i="14"/>
  <c r="M57" i="28"/>
  <c r="M14" i="28" l="1"/>
  <c r="M68" i="28"/>
  <c r="M35" i="28"/>
  <c r="L38" i="38"/>
  <c r="M38" i="38" s="1"/>
  <c r="M37" i="38"/>
  <c r="B36" i="14"/>
  <c r="C28" i="28" l="1"/>
  <c r="C34" i="28" l="1"/>
  <c r="C35" i="28"/>
  <c r="C40" i="28" l="1"/>
  <c r="K79" i="28" l="1"/>
  <c r="C39" i="28"/>
  <c r="D15" i="39"/>
  <c r="D16" i="39" l="1"/>
  <c r="D8" i="39" l="1"/>
  <c r="D9" i="39" s="1"/>
  <c r="E16" i="39"/>
  <c r="E11" i="39"/>
  <c r="E12" i="39"/>
  <c r="E13" i="39"/>
  <c r="E14" i="39"/>
  <c r="E15" i="39"/>
  <c r="K73" i="28" l="1"/>
  <c r="K91" i="28" s="1"/>
  <c r="E9" i="39"/>
  <c r="E8" i="39"/>
  <c r="E7" i="39"/>
  <c r="E5" i="39"/>
  <c r="E6" i="39"/>
  <c r="M18" i="38" l="1"/>
  <c r="M19" i="38"/>
  <c r="M8" i="38" l="1"/>
  <c r="M9" i="38" s="1"/>
  <c r="B9" i="38"/>
  <c r="B12" i="38" s="1"/>
  <c r="B35" i="38" l="1"/>
  <c r="B13" i="38"/>
  <c r="C12" i="38" l="1"/>
  <c r="C15" i="38" s="1"/>
  <c r="B40" i="38"/>
  <c r="C36" i="28" s="1"/>
  <c r="C16" i="38" l="1"/>
  <c r="C35" i="38"/>
  <c r="M12" i="38"/>
  <c r="C13" i="38"/>
  <c r="M13" i="38" s="1"/>
  <c r="D15" i="38" l="1"/>
  <c r="C40" i="38"/>
  <c r="M35" i="38"/>
  <c r="D21" i="38" l="1"/>
  <c r="M15" i="38"/>
  <c r="D16" i="38"/>
  <c r="M16" i="38" s="1"/>
  <c r="D36" i="28"/>
  <c r="D22" i="38" l="1"/>
  <c r="M21" i="38"/>
  <c r="E22" i="38" l="1"/>
  <c r="D25" i="38"/>
  <c r="D31" i="38" l="1"/>
  <c r="D27" i="38"/>
  <c r="E37" i="28" s="1"/>
  <c r="F22" i="38"/>
  <c r="E25" i="38"/>
  <c r="E27" i="38" l="1"/>
  <c r="F37" i="28" s="1"/>
  <c r="E31" i="38"/>
  <c r="E32" i="38" s="1"/>
  <c r="E36" i="38" s="1"/>
  <c r="E40" i="38" s="1"/>
  <c r="F36" i="28" s="1"/>
  <c r="G22" i="38"/>
  <c r="F25" i="38"/>
  <c r="D32" i="38"/>
  <c r="D36" i="38" s="1"/>
  <c r="F31" i="38" l="1"/>
  <c r="F27" i="38"/>
  <c r="G37" i="28" s="1"/>
  <c r="D40" i="38"/>
  <c r="H22" i="38"/>
  <c r="G25" i="38"/>
  <c r="E36" i="28" l="1"/>
  <c r="G31" i="38"/>
  <c r="G32" i="38" s="1"/>
  <c r="G36" i="38" s="1"/>
  <c r="G40" i="38" s="1"/>
  <c r="H36" i="28" s="1"/>
  <c r="G27" i="38"/>
  <c r="H37" i="28" s="1"/>
  <c r="H25" i="38"/>
  <c r="I22" i="38"/>
  <c r="F32" i="38"/>
  <c r="F36" i="38" s="1"/>
  <c r="F40" i="38" l="1"/>
  <c r="H31" i="38"/>
  <c r="H32" i="38" s="1"/>
  <c r="H36" i="38" s="1"/>
  <c r="H40" i="38" s="1"/>
  <c r="I36" i="28" s="1"/>
  <c r="H27" i="38"/>
  <c r="I37" i="28" s="1"/>
  <c r="I25" i="38"/>
  <c r="J22" i="38"/>
  <c r="K22" i="38" l="1"/>
  <c r="L22" i="38" s="1"/>
  <c r="M22" i="38" s="1"/>
  <c r="J25" i="38"/>
  <c r="I27" i="38"/>
  <c r="J37" i="28" s="1"/>
  <c r="I31" i="38"/>
  <c r="G36" i="28"/>
  <c r="J27" i="38" l="1"/>
  <c r="K37" i="28" s="1"/>
  <c r="J31" i="38"/>
  <c r="J32" i="38" s="1"/>
  <c r="J36" i="38" s="1"/>
  <c r="J40" i="38" s="1"/>
  <c r="K36" i="28" s="1"/>
  <c r="I32" i="38"/>
  <c r="I36" i="38" s="1"/>
  <c r="K25" i="38"/>
  <c r="K27" i="38" l="1"/>
  <c r="L37" i="28" s="1"/>
  <c r="K31" i="38"/>
  <c r="K32" i="38" s="1"/>
  <c r="K36" i="38" s="1"/>
  <c r="K40" i="38" s="1"/>
  <c r="L36" i="28" s="1"/>
  <c r="L26" i="38"/>
  <c r="M26" i="38" s="1"/>
  <c r="L39" i="38"/>
  <c r="M39" i="38" s="1"/>
  <c r="L25" i="38"/>
  <c r="I40" i="38"/>
  <c r="J36" i="28" l="1"/>
  <c r="M25" i="38"/>
  <c r="M27" i="38" s="1"/>
  <c r="L31" i="38"/>
  <c r="L27" i="38"/>
  <c r="M37" i="28" s="1"/>
  <c r="L32" i="38" l="1"/>
  <c r="L36" i="38" s="1"/>
  <c r="M31" i="38"/>
  <c r="M32" i="38" s="1"/>
  <c r="L40" i="38" l="1"/>
  <c r="M36" i="38"/>
  <c r="M40" i="38" s="1"/>
  <c r="M36" i="28" l="1"/>
  <c r="B42" i="38"/>
  <c r="B41" i="38"/>
  <c r="C41" i="28" l="1"/>
  <c r="C38" i="28"/>
</calcChain>
</file>

<file path=xl/sharedStrings.xml><?xml version="1.0" encoding="utf-8"?>
<sst xmlns="http://schemas.openxmlformats.org/spreadsheetml/2006/main" count="911" uniqueCount="309">
  <si>
    <t xml:space="preserve">Net Operating Income </t>
  </si>
  <si>
    <t>Total Net Operating Income</t>
  </si>
  <si>
    <t>Development Costs</t>
  </si>
  <si>
    <t>Total Development Costs</t>
  </si>
  <si>
    <t>Annual Cash Flow</t>
  </si>
  <si>
    <t>Net Operating Income</t>
  </si>
  <si>
    <t>Net Cash Flow</t>
  </si>
  <si>
    <t>Project Buildout by Development Units</t>
  </si>
  <si>
    <t xml:space="preserve">Commercial Infrastructure </t>
  </si>
  <si>
    <t xml:space="preserve">Other Infrastructure </t>
  </si>
  <si>
    <t xml:space="preserve">Total Infrastructure Costs </t>
  </si>
  <si>
    <t>Revenue Assumptions</t>
  </si>
  <si>
    <t>Inflation Factor</t>
  </si>
  <si>
    <t>Percent Built by Year</t>
  </si>
  <si>
    <t>Infrastructure Costs</t>
  </si>
  <si>
    <t>Assumptions</t>
  </si>
  <si>
    <t>Sale Revenues</t>
  </si>
  <si>
    <t>Expenses</t>
  </si>
  <si>
    <t>Total Parking Revenue</t>
  </si>
  <si>
    <t>factors</t>
  </si>
  <si>
    <t>Net Present Value</t>
  </si>
  <si>
    <t>Total Costs of Sale</t>
  </si>
  <si>
    <t>Total Buildout</t>
  </si>
  <si>
    <t>Project Buildout by Area</t>
  </si>
  <si>
    <t>(units)</t>
  </si>
  <si>
    <t>(s.f.)</t>
  </si>
  <si>
    <t>(rooms)</t>
  </si>
  <si>
    <t>(spaces)</t>
  </si>
  <si>
    <t>Total</t>
  </si>
  <si>
    <t>Year-by-Year Cumulative Absorption</t>
  </si>
  <si>
    <t>Subtotal</t>
  </si>
  <si>
    <t>Total Infrastructure Costs</t>
  </si>
  <si>
    <t>Other</t>
  </si>
  <si>
    <t>Total Costs</t>
  </si>
  <si>
    <t>Net Present Value of Costs</t>
  </si>
  <si>
    <t>Phase I</t>
  </si>
  <si>
    <t>Projected Unit Absorption</t>
  </si>
  <si>
    <t>Average Unit Size</t>
  </si>
  <si>
    <t>Monthly Rent per s.f.</t>
  </si>
  <si>
    <t>Occupancy Factor</t>
  </si>
  <si>
    <t>Number of Units</t>
  </si>
  <si>
    <t>Net Usable Area</t>
  </si>
  <si>
    <t>Sale Price per s.f.</t>
  </si>
  <si>
    <t>Builder Profit</t>
  </si>
  <si>
    <t>Cost of Sales</t>
  </si>
  <si>
    <t>Vacancy Factor</t>
  </si>
  <si>
    <t>Team</t>
  </si>
  <si>
    <t>1. Summary Pro Forma</t>
  </si>
  <si>
    <t>2. Multiyear Development Program</t>
  </si>
  <si>
    <t>Rental Housing</t>
  </si>
  <si>
    <t>For-Sale Housing</t>
  </si>
  <si>
    <t>Office/Commercial</t>
  </si>
  <si>
    <t>Retail</t>
  </si>
  <si>
    <t>Hotel</t>
  </si>
  <si>
    <t>Structured Parking</t>
  </si>
  <si>
    <t>Surface Parking</t>
  </si>
  <si>
    <t>Equity</t>
  </si>
  <si>
    <t>Affordable</t>
  </si>
  <si>
    <t>Market-rate</t>
  </si>
  <si>
    <t>Debt Service</t>
  </si>
  <si>
    <t>Loan to Value Ratio (LVR)</t>
  </si>
  <si>
    <t>3. Unit Development and Infrastructure Costs</t>
  </si>
  <si>
    <t>4. Equity and Financing Sources</t>
  </si>
  <si>
    <t>Amount</t>
  </si>
  <si>
    <t>Equity Sources (total)</t>
  </si>
  <si>
    <t>Financing Sources (total)</t>
  </si>
  <si>
    <t>Unit Cost</t>
  </si>
  <si>
    <t>Leveraged IRR Before Taxes</t>
  </si>
  <si>
    <t>Year 0</t>
  </si>
  <si>
    <t xml:space="preserve">Total Asset Value </t>
  </si>
  <si>
    <t>Asset Value</t>
  </si>
  <si>
    <t>Costs of Sale</t>
  </si>
  <si>
    <t>Unleveraged IRR Before Taxes</t>
  </si>
  <si>
    <t>Current Site Value (start of Year 0)</t>
  </si>
  <si>
    <t>Projected Site Value (end of Year 10)</t>
  </si>
  <si>
    <t>Public Subsidies (total, if any)</t>
  </si>
  <si>
    <t>Affordable Retail</t>
  </si>
  <si>
    <t>Retail (ALL)</t>
  </si>
  <si>
    <t>Market-rate Retail</t>
  </si>
  <si>
    <t>Land Acquisition</t>
  </si>
  <si>
    <t>Workforce</t>
  </si>
  <si>
    <t>Income from Sales Proceeds</t>
  </si>
  <si>
    <t>Total Income</t>
  </si>
  <si>
    <t>Demolition</t>
  </si>
  <si>
    <t>Leveraged Net Cash Flow</t>
  </si>
  <si>
    <t>Number of Units Sold</t>
  </si>
  <si>
    <t>Number of Units Built</t>
  </si>
  <si>
    <t>Effective Gross Income</t>
  </si>
  <si>
    <t>2019-2020</t>
  </si>
  <si>
    <t># of Studio Units</t>
  </si>
  <si>
    <t>Studio Monthly Rent/SF</t>
  </si>
  <si>
    <t>Studio Size (SF)</t>
  </si>
  <si>
    <t># of 1BR Units</t>
  </si>
  <si>
    <t>1BR Size (SF)</t>
  </si>
  <si>
    <t># of 2BR Units</t>
  </si>
  <si>
    <t>2BR Size (SF)</t>
  </si>
  <si>
    <t>Total MR Units</t>
  </si>
  <si>
    <t>Total SF</t>
  </si>
  <si>
    <t>Expense Ratio</t>
  </si>
  <si>
    <t>Market Vacancy</t>
  </si>
  <si>
    <t>Selling Costs</t>
  </si>
  <si>
    <t>Cap Rate</t>
  </si>
  <si>
    <t>MR Apartments</t>
  </si>
  <si>
    <t>Lot</t>
  </si>
  <si>
    <t>Program type</t>
  </si>
  <si>
    <t>Studio</t>
  </si>
  <si>
    <t>1-Bed</t>
  </si>
  <si>
    <t>2-Bed</t>
  </si>
  <si>
    <t>Average Unit Size and Rent Calculations</t>
  </si>
  <si>
    <t>A1</t>
  </si>
  <si>
    <t>SF</t>
  </si>
  <si>
    <t>APARTMENTS</t>
  </si>
  <si>
    <t>Units</t>
  </si>
  <si>
    <t xml:space="preserve">Market Rate </t>
  </si>
  <si>
    <t>%</t>
  </si>
  <si>
    <t>Avg Rent</t>
  </si>
  <si>
    <t>A2</t>
  </si>
  <si>
    <t>Total Studio Units</t>
  </si>
  <si>
    <t>Total 1 Bedroom Units</t>
  </si>
  <si>
    <t>Total 2 Bedroom Units</t>
  </si>
  <si>
    <t>A3</t>
  </si>
  <si>
    <t>A4</t>
  </si>
  <si>
    <t>B</t>
  </si>
  <si>
    <t>C</t>
  </si>
  <si>
    <t>Summary Averages</t>
  </si>
  <si>
    <t>$</t>
  </si>
  <si>
    <t>$/SF</t>
  </si>
  <si>
    <t>D</t>
  </si>
  <si>
    <t>1BR</t>
  </si>
  <si>
    <t>2BR</t>
  </si>
  <si>
    <t>E</t>
  </si>
  <si>
    <t>F</t>
  </si>
  <si>
    <t>G</t>
  </si>
  <si>
    <t>Tower</t>
  </si>
  <si>
    <t>Total Affordable Units</t>
  </si>
  <si>
    <t xml:space="preserve">% of Market Rent </t>
  </si>
  <si>
    <t>Affordable Apartments</t>
  </si>
  <si>
    <t>Rent/SF</t>
  </si>
  <si>
    <t>Office</t>
  </si>
  <si>
    <t>ADR</t>
  </si>
  <si>
    <t>Occupancy</t>
  </si>
  <si>
    <t>RevPar</t>
  </si>
  <si>
    <t>Number of Rooms</t>
  </si>
  <si>
    <t>Building</t>
  </si>
  <si>
    <t>Decking</t>
  </si>
  <si>
    <t>Cost/SF</t>
  </si>
  <si>
    <t>Footprint SF</t>
  </si>
  <si>
    <t># Stories</t>
  </si>
  <si>
    <t>Retail SF</t>
  </si>
  <si>
    <t>Apartment SF</t>
  </si>
  <si>
    <t>Office SF</t>
  </si>
  <si>
    <t>Hotel SF</t>
  </si>
  <si>
    <t xml:space="preserve">Total Project </t>
  </si>
  <si>
    <t>Phase II</t>
  </si>
  <si>
    <t>Phase III</t>
  </si>
  <si>
    <t>Totals</t>
  </si>
  <si>
    <t>Gross SF</t>
  </si>
  <si>
    <t>Phase</t>
  </si>
  <si>
    <t>Market Rate Apartments</t>
  </si>
  <si>
    <t>1 Bedroom</t>
  </si>
  <si>
    <t>2 Bedroom</t>
  </si>
  <si>
    <t>1&amp;2</t>
  </si>
  <si>
    <t>Building C</t>
  </si>
  <si>
    <t>Building G</t>
  </si>
  <si>
    <t>Efficiency Ratio</t>
  </si>
  <si>
    <t>Phase 2</t>
  </si>
  <si>
    <t>Building A</t>
  </si>
  <si>
    <t>Building B</t>
  </si>
  <si>
    <t>Building D</t>
  </si>
  <si>
    <t>Phase 3</t>
  </si>
  <si>
    <t>Building E</t>
  </si>
  <si>
    <t>Rentable SF</t>
  </si>
  <si>
    <t>1BR Monthly Rent/SF</t>
  </si>
  <si>
    <t>2BR Monthly Rent/SF</t>
  </si>
  <si>
    <t>Annual Rent</t>
  </si>
  <si>
    <t>MARKET RATE RENTALS</t>
  </si>
  <si>
    <t>Unit Type</t>
  </si>
  <si>
    <t>Unit Size</t>
  </si>
  <si>
    <t xml:space="preserve">Studio </t>
  </si>
  <si>
    <t>TOTAL</t>
  </si>
  <si>
    <t>Monthly Rent/SF</t>
  </si>
  <si>
    <t>Avg Sf</t>
  </si>
  <si>
    <t>Operating Exenses</t>
  </si>
  <si>
    <t>Total Annual Cash Flow</t>
  </si>
  <si>
    <t>Affordable Mix</t>
  </si>
  <si>
    <t>MR Mix</t>
  </si>
  <si>
    <t>SF Constructed</t>
  </si>
  <si>
    <t>Contruction Costs psf</t>
  </si>
  <si>
    <t>Construction Costs</t>
  </si>
  <si>
    <t>Leasable SF</t>
  </si>
  <si>
    <t>Cumulative SF Constructed</t>
  </si>
  <si>
    <t>Rooms</t>
  </si>
  <si>
    <t>Financing</t>
  </si>
  <si>
    <t>Land Acquisition Costs</t>
  </si>
  <si>
    <t>Other Costs</t>
  </si>
  <si>
    <t>Debt &amp; Equity Funding</t>
  </si>
  <si>
    <t>Equity Funding</t>
  </si>
  <si>
    <t>Debt Funding</t>
  </si>
  <si>
    <t>Debt Service Calculation</t>
  </si>
  <si>
    <t>Loan Repayment</t>
  </si>
  <si>
    <t>Total Debt Service</t>
  </si>
  <si>
    <t>Cash Flow After Debt Service</t>
  </si>
  <si>
    <t>(Less) Interest Expense</t>
  </si>
  <si>
    <t>Total Cash Flow After Debt Service</t>
  </si>
  <si>
    <t>Leveraged IRR Calculation</t>
  </si>
  <si>
    <t>Equity Outlays</t>
  </si>
  <si>
    <t>CFADS</t>
  </si>
  <si>
    <t>Asset Sale</t>
  </si>
  <si>
    <t>(Less) Cost of Sale</t>
  </si>
  <si>
    <t>(Less) Debt Repayment</t>
  </si>
  <si>
    <t>Leveraged Cash Flows</t>
  </si>
  <si>
    <t>Interest Rate</t>
  </si>
  <si>
    <t>Discount Rate</t>
  </si>
  <si>
    <t>Total Construction Costs</t>
  </si>
  <si>
    <t>65% of $200/SF construction costs will be funded low income housing tax credits.</t>
  </si>
  <si>
    <t>$250/SF includes $50/SF for tenant improvments</t>
  </si>
  <si>
    <t>Avg. Room Size (SF)</t>
  </si>
  <si>
    <t>Sources and Uses</t>
  </si>
  <si>
    <t>Uses</t>
  </si>
  <si>
    <t>Total Uses</t>
  </si>
  <si>
    <t>Sources</t>
  </si>
  <si>
    <t>Total Sources</t>
  </si>
  <si>
    <t>Senior Debt (65% LTC)</t>
  </si>
  <si>
    <t>Loan-to-Cost Ratio</t>
  </si>
  <si>
    <t>PACE Financing</t>
  </si>
  <si>
    <t>Low Income Housing Tax Credits</t>
  </si>
  <si>
    <t>PACE $/SF</t>
  </si>
  <si>
    <t>Developer Fee</t>
  </si>
  <si>
    <t>Loan Orgination Fee</t>
  </si>
  <si>
    <t>Developer Fee (3%)</t>
  </si>
  <si>
    <t>Loan Origination Fee</t>
  </si>
  <si>
    <t>Infrastructure</t>
  </si>
  <si>
    <t>Equity Remaining</t>
  </si>
  <si>
    <t>Interest Expense (5.25% All-In Rate)</t>
  </si>
  <si>
    <t>PACE Funding</t>
  </si>
  <si>
    <t>PACE Remaining</t>
  </si>
  <si>
    <t>% of Total</t>
  </si>
  <si>
    <t>Loan Origination Fee (1.00%)</t>
  </si>
  <si>
    <t>Senior Debt</t>
  </si>
  <si>
    <t>Net Present Value (Levered)</t>
  </si>
  <si>
    <t>Cumulative Debt Outstanding</t>
  </si>
  <si>
    <t>Parking</t>
  </si>
  <si>
    <t>Exense Ratio</t>
  </si>
  <si>
    <t>083-0001-0122</t>
  </si>
  <si>
    <t>083-0001-0123</t>
  </si>
  <si>
    <t>083-0001-0131</t>
  </si>
  <si>
    <t>083-0001-0132</t>
  </si>
  <si>
    <t>083-0001-0134</t>
  </si>
  <si>
    <t>083-0001-0150</t>
  </si>
  <si>
    <t>083-0001-0124</t>
  </si>
  <si>
    <t>083-0001-0121</t>
  </si>
  <si>
    <t>083-0001-0252</t>
  </si>
  <si>
    <t>083-0001-0120</t>
  </si>
  <si>
    <t>083-0001-0116</t>
  </si>
  <si>
    <t>083-0001-0115</t>
  </si>
  <si>
    <t>3rd Between Vine and Walnut "The Tower"</t>
  </si>
  <si>
    <t>083-0007-0038</t>
  </si>
  <si>
    <t>083-0007-0033</t>
  </si>
  <si>
    <t>083-0007-0071</t>
  </si>
  <si>
    <t>083-0007-0004-00</t>
  </si>
  <si>
    <t>083-0007-0001-00</t>
  </si>
  <si>
    <t>083-0007-0009</t>
  </si>
  <si>
    <t>083-0009-0002</t>
  </si>
  <si>
    <t>083-0008-0004</t>
  </si>
  <si>
    <t>083-0008-0003</t>
  </si>
  <si>
    <t>Effective Tax Rate</t>
  </si>
  <si>
    <t>Assessed Value</t>
  </si>
  <si>
    <t>TIF Value</t>
  </si>
  <si>
    <t>Market Total Value</t>
  </si>
  <si>
    <t>Market Improved Value</t>
  </si>
  <si>
    <t>Market Land Value</t>
  </si>
  <si>
    <t>Acreage</t>
  </si>
  <si>
    <t>Stories</t>
  </si>
  <si>
    <t>ParcelID</t>
  </si>
  <si>
    <t>Built Area</t>
  </si>
  <si>
    <t>Cumulative Built Area</t>
  </si>
  <si>
    <t>Sales Cap Rate</t>
  </si>
  <si>
    <t>Cost of Sale</t>
  </si>
  <si>
    <t>Stalls</t>
  </si>
  <si>
    <t>2019-20</t>
  </si>
  <si>
    <t>Built Surface Parking Spaces</t>
  </si>
  <si>
    <t>Cumulative Surface Parking Spaces</t>
  </si>
  <si>
    <t>Avg. Monthly Price</t>
  </si>
  <si>
    <t>Average Monthly Revenue Per Stall</t>
  </si>
  <si>
    <t>Surface Parking Construction Costs per SF</t>
  </si>
  <si>
    <t>Surface Parking Construction Costs</t>
  </si>
  <si>
    <t>Civic Space</t>
  </si>
  <si>
    <t>Site Work/Landscaping</t>
  </si>
  <si>
    <t>Showboat</t>
  </si>
  <si>
    <t>SF Absorption</t>
  </si>
  <si>
    <t>Cumulative SF Absorption</t>
  </si>
  <si>
    <t>Low Income Housing Tax Credit Equity</t>
  </si>
  <si>
    <t>LIHTC Equity Funding</t>
  </si>
  <si>
    <t>LIHTC Equity Remaining</t>
  </si>
  <si>
    <t xml:space="preserve">Retail </t>
  </si>
  <si>
    <t>Commercial Infrastructure</t>
  </si>
  <si>
    <t>$/unit</t>
  </si>
  <si>
    <t>$/stall</t>
  </si>
  <si>
    <t>$/room</t>
  </si>
  <si>
    <t>Affordable RENTALS</t>
  </si>
  <si>
    <t>Sources &amp; Uses</t>
  </si>
  <si>
    <t>Finance</t>
  </si>
  <si>
    <t>Phasing</t>
  </si>
  <si>
    <t>Total A-G</t>
  </si>
  <si>
    <t>Contributed Lots</t>
  </si>
  <si>
    <t>Land</t>
  </si>
  <si>
    <t>Total 3rd Between Vine and Walnut " The Tower"</t>
  </si>
  <si>
    <t>Apartment Mix</t>
  </si>
  <si>
    <t>Team 199991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</si>
</sst>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.00"/>
    <numFmt numFmtId="167" formatCode="&quot;$&quot;#,##0"/>
    <numFmt numFmtId="168" formatCode="_(&quot;$&quot;* #,##0_);_(&quot;$&quot;* \(#,##0\);_(&quot;$&quot;* &quot;-&quot;??_);_(@_)"/>
  </numFmts>
  <fonts count="48" x14ac:knownFonts="1">
    <font>
      <sz val="10"/>
      <name val="Arial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10"/>
      <name val="Arial"/>
      <family val="2"/>
    </font>
    <font>
      <b/>
      <sz val="11"/>
      <color theme="1"/>
      <name val="Trebuchet MS"/>
      <family val="2"/>
      <scheme val="minor"/>
    </font>
    <font>
      <b/>
      <sz val="14"/>
      <color theme="0"/>
      <name val="Trebuchet MS"/>
      <family val="1"/>
      <scheme val="major"/>
    </font>
    <font>
      <sz val="10"/>
      <name val="Trebuchet MS"/>
      <family val="1"/>
      <scheme val="major"/>
    </font>
    <font>
      <sz val="12"/>
      <name val="Trebuchet MS"/>
      <family val="1"/>
      <scheme val="major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i/>
      <u/>
      <sz val="10"/>
      <name val="Arial Narrow"/>
      <family val="2"/>
    </font>
    <font>
      <sz val="11"/>
      <name val="Trebuchet MS"/>
      <family val="2"/>
      <scheme val="minor"/>
    </font>
    <font>
      <b/>
      <sz val="11"/>
      <name val="Trebuchet MS"/>
      <family val="2"/>
      <scheme val="minor"/>
    </font>
    <font>
      <b/>
      <u/>
      <sz val="11"/>
      <name val="Trebuchet MS"/>
      <family val="2"/>
      <scheme val="minor"/>
    </font>
    <font>
      <sz val="11"/>
      <color rgb="FF008000"/>
      <name val="Trebuchet MS"/>
      <family val="2"/>
      <scheme val="minor"/>
    </font>
    <font>
      <sz val="11"/>
      <color rgb="FF0000FF"/>
      <name val="Trebuchet MS"/>
      <family val="2"/>
      <scheme val="minor"/>
    </font>
    <font>
      <b/>
      <i/>
      <u/>
      <sz val="11"/>
      <name val="Trebuchet MS"/>
      <family val="2"/>
      <scheme val="minor"/>
    </font>
    <font>
      <i/>
      <sz val="11"/>
      <name val="Trebuchet MS"/>
      <family val="2"/>
      <scheme val="minor"/>
    </font>
    <font>
      <b/>
      <sz val="12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8"/>
      <color theme="1"/>
      <name val="Arial Narrow"/>
      <family val="2"/>
    </font>
    <font>
      <b/>
      <u/>
      <sz val="10"/>
      <name val="Arial Narrow"/>
      <family val="2"/>
    </font>
    <font>
      <b/>
      <sz val="10"/>
      <color theme="1"/>
      <name val="Arial Narrow"/>
      <family val="2"/>
    </font>
    <font>
      <b/>
      <i/>
      <u/>
      <sz val="10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Arial Narrow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  <font>
      <sz val="9"/>
      <color indexed="12"/>
      <name val="Arial Narrow"/>
      <family val="2"/>
    </font>
    <font>
      <b/>
      <sz val="9"/>
      <name val="Arial"/>
      <family val="2"/>
    </font>
    <font>
      <sz val="9"/>
      <color indexed="9"/>
      <name val="Arial Narrow"/>
      <family val="2"/>
    </font>
    <font>
      <sz val="9"/>
      <color rgb="FF952E38"/>
      <name val="Arial Narrow"/>
      <family val="2"/>
    </font>
    <font>
      <sz val="10"/>
      <color rgb="FF952E3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CE4D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0F5F7"/>
        <bgColor indexed="64"/>
      </patternFill>
    </fill>
    <fill>
      <patternFill patternType="solid">
        <fgColor rgb="FFE2C329"/>
        <bgColor indexed="64"/>
      </patternFill>
    </fill>
    <fill>
      <patternFill patternType="solid">
        <fgColor rgb="FFFFE78D"/>
        <bgColor indexed="64"/>
      </patternFill>
    </fill>
    <fill>
      <patternFill patternType="solid">
        <fgColor rgb="FFFFF2BD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4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</cellStyleXfs>
  <cellXfs count="793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2" xfId="0" applyFont="1" applyBorder="1"/>
    <xf numFmtId="0" fontId="6" fillId="0" borderId="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5" xfId="0" applyFont="1" applyBorder="1"/>
    <xf numFmtId="0" fontId="7" fillId="0" borderId="5" xfId="0" applyFont="1" applyBorder="1" applyAlignment="1">
      <alignment horizontal="right"/>
    </xf>
    <xf numFmtId="0" fontId="8" fillId="0" borderId="0" xfId="0" applyFont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0" fontId="6" fillId="0" borderId="7" xfId="0" applyFont="1" applyBorder="1" applyAlignment="1">
      <alignment horizontal="right"/>
    </xf>
    <xf numFmtId="9" fontId="6" fillId="0" borderId="3" xfId="0" applyNumberFormat="1" applyFont="1" applyFill="1" applyBorder="1" applyAlignment="1">
      <alignment horizontal="center"/>
    </xf>
    <xf numFmtId="9" fontId="6" fillId="0" borderId="7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" fillId="0" borderId="2" xfId="0" applyFont="1" applyFill="1" applyBorder="1"/>
    <xf numFmtId="0" fontId="6" fillId="0" borderId="2" xfId="0" applyFont="1" applyFill="1" applyBorder="1"/>
    <xf numFmtId="0" fontId="7" fillId="0" borderId="6" xfId="0" applyFont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2" fontId="6" fillId="0" borderId="3" xfId="0" applyNumberFormat="1" applyFont="1" applyFill="1" applyBorder="1" applyAlignment="1">
      <alignment horizontal="center"/>
    </xf>
    <xf numFmtId="9" fontId="6" fillId="0" borderId="5" xfId="0" applyNumberFormat="1" applyFont="1" applyFill="1" applyBorder="1" applyAlignment="1">
      <alignment horizontal="center"/>
    </xf>
    <xf numFmtId="9" fontId="6" fillId="0" borderId="2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right"/>
    </xf>
    <xf numFmtId="0" fontId="6" fillId="0" borderId="0" xfId="1" applyFont="1" applyAlignment="1">
      <alignment vertical="center"/>
    </xf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wrapText="1"/>
    </xf>
    <xf numFmtId="0" fontId="6" fillId="0" borderId="0" xfId="1" applyFont="1" applyBorder="1"/>
    <xf numFmtId="0" fontId="6" fillId="0" borderId="0" xfId="1" applyFont="1" applyFill="1" applyAlignment="1">
      <alignment horizontal="center"/>
    </xf>
    <xf numFmtId="0" fontId="6" fillId="0" borderId="0" xfId="1" applyFont="1" applyFill="1"/>
    <xf numFmtId="0" fontId="6" fillId="2" borderId="0" xfId="1" applyFont="1" applyFill="1"/>
    <xf numFmtId="0" fontId="6" fillId="2" borderId="6" xfId="1" applyFont="1" applyFill="1" applyBorder="1"/>
    <xf numFmtId="2" fontId="6" fillId="0" borderId="2" xfId="0" applyNumberFormat="1" applyFont="1" applyFill="1" applyBorder="1" applyAlignment="1">
      <alignment horizontal="center"/>
    </xf>
    <xf numFmtId="0" fontId="3" fillId="0" borderId="0" xfId="5"/>
    <xf numFmtId="0" fontId="12" fillId="5" borderId="0" xfId="5" applyFont="1" applyFill="1"/>
    <xf numFmtId="0" fontId="3" fillId="5" borderId="0" xfId="5" applyFill="1"/>
    <xf numFmtId="0" fontId="14" fillId="7" borderId="0" xfId="5" applyFont="1" applyFill="1"/>
    <xf numFmtId="0" fontId="14" fillId="7" borderId="0" xfId="5" applyFont="1" applyFill="1" applyAlignment="1">
      <alignment horizontal="center"/>
    </xf>
    <xf numFmtId="0" fontId="16" fillId="0" borderId="25" xfId="5" applyFont="1" applyBorder="1"/>
    <xf numFmtId="0" fontId="17" fillId="0" borderId="25" xfId="5" applyFont="1" applyBorder="1" applyAlignment="1">
      <alignment horizontal="center"/>
    </xf>
    <xf numFmtId="0" fontId="17" fillId="0" borderId="25" xfId="5" applyFont="1" applyBorder="1"/>
    <xf numFmtId="168" fontId="16" fillId="0" borderId="25" xfId="5" applyNumberFormat="1" applyFont="1" applyBorder="1"/>
    <xf numFmtId="1" fontId="16" fillId="0" borderId="25" xfId="5" applyNumberFormat="1" applyFont="1" applyBorder="1" applyAlignment="1">
      <alignment horizontal="center"/>
    </xf>
    <xf numFmtId="44" fontId="16" fillId="0" borderId="25" xfId="5" applyNumberFormat="1" applyFont="1" applyBorder="1"/>
    <xf numFmtId="0" fontId="14" fillId="7" borderId="0" xfId="5" applyFont="1" applyFill="1" applyAlignment="1">
      <alignment horizontal="center" wrapText="1"/>
    </xf>
    <xf numFmtId="0" fontId="3" fillId="6" borderId="0" xfId="5" applyFill="1" applyBorder="1"/>
    <xf numFmtId="164" fontId="3" fillId="6" borderId="0" xfId="5" applyNumberFormat="1" applyFill="1" applyBorder="1"/>
    <xf numFmtId="9" fontId="3" fillId="6" borderId="0" xfId="5" applyNumberFormat="1" applyFill="1" applyBorder="1"/>
    <xf numFmtId="9" fontId="3" fillId="6" borderId="29" xfId="5" applyNumberFormat="1" applyFill="1" applyBorder="1"/>
    <xf numFmtId="164" fontId="3" fillId="6" borderId="29" xfId="5" applyNumberFormat="1" applyFill="1" applyBorder="1"/>
    <xf numFmtId="164" fontId="3" fillId="6" borderId="0" xfId="5" applyNumberFormat="1" applyFill="1" applyBorder="1" applyAlignment="1">
      <alignment horizontal="right"/>
    </xf>
    <xf numFmtId="0" fontId="11" fillId="4" borderId="8" xfId="5" applyFont="1" applyFill="1" applyBorder="1" applyAlignment="1">
      <alignment horizontal="center"/>
    </xf>
    <xf numFmtId="0" fontId="11" fillId="4" borderId="6" xfId="5" applyFont="1" applyFill="1" applyBorder="1"/>
    <xf numFmtId="0" fontId="3" fillId="4" borderId="6" xfId="5" applyFill="1" applyBorder="1"/>
    <xf numFmtId="0" fontId="11" fillId="4" borderId="6" xfId="5" applyFont="1" applyFill="1" applyBorder="1" applyAlignment="1">
      <alignment horizontal="center"/>
    </xf>
    <xf numFmtId="0" fontId="11" fillId="4" borderId="9" xfId="5" applyFont="1" applyFill="1" applyBorder="1" applyAlignment="1">
      <alignment horizontal="center"/>
    </xf>
    <xf numFmtId="0" fontId="7" fillId="9" borderId="34" xfId="0" applyFont="1" applyFill="1" applyBorder="1" applyAlignment="1">
      <alignment horizontal="centerContinuous"/>
    </xf>
    <xf numFmtId="0" fontId="7" fillId="7" borderId="34" xfId="0" applyFont="1" applyFill="1" applyBorder="1" applyAlignment="1">
      <alignment horizontal="centerContinuous"/>
    </xf>
    <xf numFmtId="0" fontId="19" fillId="9" borderId="0" xfId="0" applyFont="1" applyFill="1" applyBorder="1" applyAlignment="1">
      <alignment horizontal="center"/>
    </xf>
    <xf numFmtId="0" fontId="19" fillId="7" borderId="0" xfId="0" applyFont="1" applyFill="1" applyBorder="1" applyAlignment="1">
      <alignment horizontal="center"/>
    </xf>
    <xf numFmtId="3" fontId="6" fillId="9" borderId="0" xfId="0" applyNumberFormat="1" applyFont="1" applyFill="1" applyBorder="1" applyAlignment="1">
      <alignment horizontal="center"/>
    </xf>
    <xf numFmtId="3" fontId="6" fillId="7" borderId="0" xfId="0" applyNumberFormat="1" applyFont="1" applyFill="1" applyBorder="1" applyAlignment="1">
      <alignment horizontal="center"/>
    </xf>
    <xf numFmtId="3" fontId="7" fillId="9" borderId="37" xfId="0" applyNumberFormat="1" applyFont="1" applyFill="1" applyBorder="1" applyAlignment="1">
      <alignment horizontal="center"/>
    </xf>
    <xf numFmtId="3" fontId="7" fillId="7" borderId="37" xfId="0" applyNumberFormat="1" applyFont="1" applyFill="1" applyBorder="1" applyAlignment="1">
      <alignment horizontal="center"/>
    </xf>
    <xf numFmtId="0" fontId="7" fillId="10" borderId="34" xfId="0" applyFont="1" applyFill="1" applyBorder="1" applyAlignment="1">
      <alignment horizontal="centerContinuous"/>
    </xf>
    <xf numFmtId="0" fontId="7" fillId="10" borderId="38" xfId="0" applyFont="1" applyFill="1" applyBorder="1" applyAlignment="1">
      <alignment horizontal="centerContinuous"/>
    </xf>
    <xf numFmtId="0" fontId="19" fillId="10" borderId="0" xfId="0" applyFont="1" applyFill="1" applyBorder="1" applyAlignment="1">
      <alignment horizontal="center"/>
    </xf>
    <xf numFmtId="0" fontId="19" fillId="10" borderId="39" xfId="0" applyFont="1" applyFill="1" applyBorder="1" applyAlignment="1">
      <alignment horizontal="center" vertical="center"/>
    </xf>
    <xf numFmtId="3" fontId="6" fillId="10" borderId="0" xfId="0" applyNumberFormat="1" applyFont="1" applyFill="1" applyBorder="1" applyAlignment="1">
      <alignment horizontal="center"/>
    </xf>
    <xf numFmtId="3" fontId="7" fillId="10" borderId="37" xfId="0" applyNumberFormat="1" applyFont="1" applyFill="1" applyBorder="1" applyAlignment="1">
      <alignment horizontal="center"/>
    </xf>
    <xf numFmtId="3" fontId="7" fillId="10" borderId="4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25" xfId="0" applyFont="1" applyBorder="1"/>
    <xf numFmtId="3" fontId="6" fillId="7" borderId="25" xfId="0" applyNumberFormat="1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3" fontId="6" fillId="9" borderId="25" xfId="0" applyNumberFormat="1" applyFont="1" applyFill="1" applyBorder="1" applyAlignment="1">
      <alignment horizontal="center"/>
    </xf>
    <xf numFmtId="167" fontId="6" fillId="0" borderId="25" xfId="0" applyNumberFormat="1" applyFont="1" applyFill="1" applyBorder="1" applyAlignment="1">
      <alignment horizontal="center"/>
    </xf>
    <xf numFmtId="167" fontId="6" fillId="9" borderId="25" xfId="0" applyNumberFormat="1" applyFont="1" applyFill="1" applyBorder="1" applyAlignment="1">
      <alignment horizontal="center"/>
    </xf>
    <xf numFmtId="167" fontId="6" fillId="7" borderId="25" xfId="0" applyNumberFormat="1" applyFont="1" applyFill="1" applyBorder="1" applyAlignment="1">
      <alignment horizontal="center"/>
    </xf>
    <xf numFmtId="0" fontId="7" fillId="9" borderId="41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166" fontId="6" fillId="9" borderId="25" xfId="8" applyNumberFormat="1" applyFont="1" applyFill="1" applyBorder="1" applyAlignment="1">
      <alignment horizontal="center"/>
    </xf>
    <xf numFmtId="166" fontId="6" fillId="7" borderId="25" xfId="8" applyNumberFormat="1" applyFont="1" applyFill="1" applyBorder="1" applyAlignment="1">
      <alignment horizontal="center"/>
    </xf>
    <xf numFmtId="38" fontId="7" fillId="9" borderId="32" xfId="0" applyNumberFormat="1" applyFont="1" applyFill="1" applyBorder="1" applyAlignment="1">
      <alignment horizontal="center"/>
    </xf>
    <xf numFmtId="38" fontId="7" fillId="7" borderId="32" xfId="0" applyNumberFormat="1" applyFont="1" applyFill="1" applyBorder="1" applyAlignment="1">
      <alignment horizontal="center"/>
    </xf>
    <xf numFmtId="38" fontId="6" fillId="9" borderId="25" xfId="0" applyNumberFormat="1" applyFont="1" applyFill="1" applyBorder="1" applyAlignment="1">
      <alignment horizontal="center"/>
    </xf>
    <xf numFmtId="38" fontId="6" fillId="7" borderId="25" xfId="0" applyNumberFormat="1" applyFont="1" applyFill="1" applyBorder="1" applyAlignment="1">
      <alignment horizontal="center"/>
    </xf>
    <xf numFmtId="38" fontId="7" fillId="9" borderId="41" xfId="0" applyNumberFormat="1" applyFont="1" applyFill="1" applyBorder="1" applyAlignment="1">
      <alignment horizontal="center"/>
    </xf>
    <xf numFmtId="38" fontId="7" fillId="7" borderId="41" xfId="0" applyNumberFormat="1" applyFont="1" applyFill="1" applyBorder="1" applyAlignment="1">
      <alignment horizontal="center"/>
    </xf>
    <xf numFmtId="38" fontId="6" fillId="9" borderId="41" xfId="0" applyNumberFormat="1" applyFont="1" applyFill="1" applyBorder="1" applyAlignment="1">
      <alignment horizontal="center"/>
    </xf>
    <xf numFmtId="38" fontId="6" fillId="7" borderId="41" xfId="0" applyNumberFormat="1" applyFont="1" applyFill="1" applyBorder="1" applyAlignment="1">
      <alignment horizontal="center"/>
    </xf>
    <xf numFmtId="3" fontId="19" fillId="10" borderId="0" xfId="0" applyNumberFormat="1" applyFont="1" applyFill="1" applyBorder="1" applyAlignment="1">
      <alignment horizontal="center"/>
    </xf>
    <xf numFmtId="166" fontId="6" fillId="9" borderId="41" xfId="8" applyNumberFormat="1" applyFont="1" applyFill="1" applyBorder="1" applyAlignment="1">
      <alignment horizontal="center"/>
    </xf>
    <xf numFmtId="166" fontId="6" fillId="7" borderId="41" xfId="8" applyNumberFormat="1" applyFont="1" applyFill="1" applyBorder="1" applyAlignment="1">
      <alignment horizontal="center"/>
    </xf>
    <xf numFmtId="0" fontId="6" fillId="9" borderId="4" xfId="1" applyFont="1" applyFill="1" applyBorder="1"/>
    <xf numFmtId="0" fontId="7" fillId="9" borderId="1" xfId="1" applyFont="1" applyFill="1" applyBorder="1" applyAlignment="1">
      <alignment horizontal="center"/>
    </xf>
    <xf numFmtId="0" fontId="6" fillId="9" borderId="3" xfId="1" applyFont="1" applyFill="1" applyBorder="1"/>
    <xf numFmtId="0" fontId="6" fillId="9" borderId="1" xfId="1" applyFont="1" applyFill="1" applyBorder="1"/>
    <xf numFmtId="0" fontId="6" fillId="7" borderId="4" xfId="1" applyFont="1" applyFill="1" applyBorder="1"/>
    <xf numFmtId="0" fontId="7" fillId="7" borderId="1" xfId="1" applyFont="1" applyFill="1" applyBorder="1" applyAlignment="1">
      <alignment horizontal="center"/>
    </xf>
    <xf numFmtId="0" fontId="6" fillId="7" borderId="3" xfId="1" applyFont="1" applyFill="1" applyBorder="1"/>
    <xf numFmtId="0" fontId="6" fillId="7" borderId="1" xfId="1" applyFont="1" applyFill="1" applyBorder="1"/>
    <xf numFmtId="0" fontId="4" fillId="11" borderId="0" xfId="1" applyFont="1" applyFill="1"/>
    <xf numFmtId="0" fontId="20" fillId="11" borderId="43" xfId="1" applyFont="1" applyFill="1" applyBorder="1"/>
    <xf numFmtId="0" fontId="21" fillId="11" borderId="44" xfId="1" applyFont="1" applyFill="1" applyBorder="1" applyAlignment="1">
      <alignment horizontal="center"/>
    </xf>
    <xf numFmtId="0" fontId="21" fillId="7" borderId="45" xfId="1" applyFont="1" applyFill="1" applyBorder="1" applyAlignment="1">
      <alignment horizontal="left"/>
    </xf>
    <xf numFmtId="0" fontId="20" fillId="7" borderId="45" xfId="1" applyFont="1" applyFill="1" applyBorder="1" applyAlignment="1">
      <alignment horizontal="left"/>
    </xf>
    <xf numFmtId="0" fontId="21" fillId="12" borderId="45" xfId="1" applyFont="1" applyFill="1" applyBorder="1" applyAlignment="1">
      <alignment horizontal="left"/>
    </xf>
    <xf numFmtId="0" fontId="20" fillId="12" borderId="45" xfId="1" applyFont="1" applyFill="1" applyBorder="1" applyAlignment="1">
      <alignment horizontal="left"/>
    </xf>
    <xf numFmtId="0" fontId="20" fillId="12" borderId="46" xfId="1" applyFont="1" applyFill="1" applyBorder="1" applyAlignment="1">
      <alignment horizontal="left"/>
    </xf>
    <xf numFmtId="0" fontId="20" fillId="10" borderId="47" xfId="1" applyFont="1" applyFill="1" applyBorder="1"/>
    <xf numFmtId="0" fontId="20" fillId="11" borderId="14" xfId="1" applyFont="1" applyFill="1" applyBorder="1"/>
    <xf numFmtId="0" fontId="11" fillId="11" borderId="48" xfId="1" applyFont="1" applyFill="1" applyBorder="1" applyAlignment="1">
      <alignment horizontal="center"/>
    </xf>
    <xf numFmtId="0" fontId="11" fillId="7" borderId="3" xfId="1" applyFont="1" applyFill="1" applyBorder="1" applyAlignment="1">
      <alignment horizontal="center"/>
    </xf>
    <xf numFmtId="0" fontId="11" fillId="12" borderId="3" xfId="1" applyFont="1" applyFill="1" applyBorder="1" applyAlignment="1">
      <alignment horizontal="center"/>
    </xf>
    <xf numFmtId="0" fontId="11" fillId="12" borderId="49" xfId="1" applyFont="1" applyFill="1" applyBorder="1" applyAlignment="1">
      <alignment horizontal="center"/>
    </xf>
    <xf numFmtId="0" fontId="2" fillId="10" borderId="50" xfId="1" applyFont="1" applyFill="1" applyBorder="1"/>
    <xf numFmtId="0" fontId="20" fillId="11" borderId="51" xfId="1" applyFont="1" applyFill="1" applyBorder="1"/>
    <xf numFmtId="0" fontId="11" fillId="11" borderId="52" xfId="1" applyFont="1" applyFill="1" applyBorder="1" applyAlignment="1">
      <alignment horizontal="center"/>
    </xf>
    <xf numFmtId="0" fontId="11" fillId="7" borderId="42" xfId="1" applyFont="1" applyFill="1" applyBorder="1" applyAlignment="1">
      <alignment horizontal="center"/>
    </xf>
    <xf numFmtId="0" fontId="11" fillId="12" borderId="42" xfId="1" applyFont="1" applyFill="1" applyBorder="1" applyAlignment="1">
      <alignment horizontal="center"/>
    </xf>
    <xf numFmtId="0" fontId="11" fillId="12" borderId="53" xfId="1" applyFont="1" applyFill="1" applyBorder="1" applyAlignment="1">
      <alignment horizontal="center"/>
    </xf>
    <xf numFmtId="0" fontId="11" fillId="10" borderId="54" xfId="1" applyFont="1" applyFill="1" applyBorder="1" applyAlignment="1">
      <alignment horizontal="center"/>
    </xf>
    <xf numFmtId="0" fontId="20" fillId="11" borderId="13" xfId="1" applyFont="1" applyFill="1" applyBorder="1"/>
    <xf numFmtId="42" fontId="20" fillId="10" borderId="57" xfId="1" applyNumberFormat="1" applyFont="1" applyFill="1" applyBorder="1"/>
    <xf numFmtId="41" fontId="20" fillId="11" borderId="48" xfId="1" applyNumberFormat="1" applyFont="1" applyFill="1" applyBorder="1"/>
    <xf numFmtId="41" fontId="20" fillId="7" borderId="3" xfId="1" applyNumberFormat="1" applyFont="1" applyFill="1" applyBorder="1"/>
    <xf numFmtId="41" fontId="20" fillId="12" borderId="3" xfId="1" applyNumberFormat="1" applyFont="1" applyFill="1" applyBorder="1"/>
    <xf numFmtId="41" fontId="20" fillId="12" borderId="49" xfId="1" applyNumberFormat="1" applyFont="1" applyFill="1" applyBorder="1"/>
    <xf numFmtId="41" fontId="20" fillId="10" borderId="50" xfId="1" applyNumberFormat="1" applyFont="1" applyFill="1" applyBorder="1"/>
    <xf numFmtId="0" fontId="20" fillId="11" borderId="19" xfId="1" applyFont="1" applyFill="1" applyBorder="1"/>
    <xf numFmtId="41" fontId="20" fillId="10" borderId="58" xfId="1" applyNumberFormat="1" applyFont="1" applyFill="1" applyBorder="1"/>
    <xf numFmtId="42" fontId="4" fillId="11" borderId="0" xfId="1" applyNumberFormat="1" applyFont="1" applyFill="1"/>
    <xf numFmtId="0" fontId="21" fillId="11" borderId="16" xfId="1" applyFont="1" applyFill="1" applyBorder="1"/>
    <xf numFmtId="42" fontId="21" fillId="11" borderId="59" xfId="1" applyNumberFormat="1" applyFont="1" applyFill="1" applyBorder="1"/>
    <xf numFmtId="42" fontId="21" fillId="7" borderId="6" xfId="1" applyNumberFormat="1" applyFont="1" applyFill="1" applyBorder="1"/>
    <xf numFmtId="42" fontId="21" fillId="12" borderId="6" xfId="1" applyNumberFormat="1" applyFont="1" applyFill="1" applyBorder="1"/>
    <xf numFmtId="42" fontId="21" fillId="12" borderId="60" xfId="1" applyNumberFormat="1" applyFont="1" applyFill="1" applyBorder="1"/>
    <xf numFmtId="42" fontId="21" fillId="10" borderId="61" xfId="1" applyNumberFormat="1" applyFont="1" applyFill="1" applyBorder="1"/>
    <xf numFmtId="6" fontId="20" fillId="11" borderId="55" xfId="1" applyNumberFormat="1" applyFont="1" applyFill="1" applyBorder="1"/>
    <xf numFmtId="6" fontId="20" fillId="7" borderId="2" xfId="1" applyNumberFormat="1" applyFont="1" applyFill="1" applyBorder="1"/>
    <xf numFmtId="6" fontId="20" fillId="12" borderId="2" xfId="1" applyNumberFormat="1" applyFont="1" applyFill="1" applyBorder="1"/>
    <xf numFmtId="6" fontId="20" fillId="12" borderId="56" xfId="1" applyNumberFormat="1" applyFont="1" applyFill="1" applyBorder="1"/>
    <xf numFmtId="6" fontId="20" fillId="10" borderId="57" xfId="1" applyNumberFormat="1" applyFont="1" applyFill="1" applyBorder="1"/>
    <xf numFmtId="0" fontId="22" fillId="11" borderId="14" xfId="1" applyFont="1" applyFill="1" applyBorder="1"/>
    <xf numFmtId="6" fontId="20" fillId="11" borderId="48" xfId="1" applyNumberFormat="1" applyFont="1" applyFill="1" applyBorder="1"/>
    <xf numFmtId="6" fontId="20" fillId="7" borderId="3" xfId="1" applyNumberFormat="1" applyFont="1" applyFill="1" applyBorder="1"/>
    <xf numFmtId="6" fontId="20" fillId="12" borderId="3" xfId="1" applyNumberFormat="1" applyFont="1" applyFill="1" applyBorder="1"/>
    <xf numFmtId="6" fontId="20" fillId="12" borderId="49" xfId="1" applyNumberFormat="1" applyFont="1" applyFill="1" applyBorder="1"/>
    <xf numFmtId="6" fontId="20" fillId="10" borderId="50" xfId="1" applyNumberFormat="1" applyFont="1" applyFill="1" applyBorder="1"/>
    <xf numFmtId="42" fontId="20" fillId="11" borderId="48" xfId="1" applyNumberFormat="1" applyFont="1" applyFill="1" applyBorder="1"/>
    <xf numFmtId="42" fontId="20" fillId="7" borderId="3" xfId="1" applyNumberFormat="1" applyFont="1" applyFill="1" applyBorder="1"/>
    <xf numFmtId="42" fontId="20" fillId="12" borderId="3" xfId="1" applyNumberFormat="1" applyFont="1" applyFill="1" applyBorder="1"/>
    <xf numFmtId="42" fontId="20" fillId="12" borderId="49" xfId="1" applyNumberFormat="1" applyFont="1" applyFill="1" applyBorder="1"/>
    <xf numFmtId="6" fontId="4" fillId="11" borderId="0" xfId="1" applyNumberFormat="1" applyFont="1" applyFill="1"/>
    <xf numFmtId="42" fontId="23" fillId="11" borderId="48" xfId="1" applyNumberFormat="1" applyFont="1" applyFill="1" applyBorder="1"/>
    <xf numFmtId="42" fontId="23" fillId="7" borderId="3" xfId="1" applyNumberFormat="1" applyFont="1" applyFill="1" applyBorder="1"/>
    <xf numFmtId="42" fontId="23" fillId="12" borderId="3" xfId="1" applyNumberFormat="1" applyFont="1" applyFill="1" applyBorder="1"/>
    <xf numFmtId="42" fontId="23" fillId="12" borderId="49" xfId="1" applyNumberFormat="1" applyFont="1" applyFill="1" applyBorder="1"/>
    <xf numFmtId="8" fontId="4" fillId="11" borderId="0" xfId="1" applyNumberFormat="1" applyFont="1" applyFill="1"/>
    <xf numFmtId="41" fontId="24" fillId="11" borderId="48" xfId="1" applyNumberFormat="1" applyFont="1" applyFill="1" applyBorder="1"/>
    <xf numFmtId="0" fontId="21" fillId="11" borderId="14" xfId="1" applyFont="1" applyFill="1" applyBorder="1"/>
    <xf numFmtId="42" fontId="21" fillId="11" borderId="48" xfId="1" applyNumberFormat="1" applyFont="1" applyFill="1" applyBorder="1"/>
    <xf numFmtId="42" fontId="21" fillId="7" borderId="3" xfId="1" applyNumberFormat="1" applyFont="1" applyFill="1" applyBorder="1"/>
    <xf numFmtId="42" fontId="21" fillId="12" borderId="3" xfId="1" applyNumberFormat="1" applyFont="1" applyFill="1" applyBorder="1"/>
    <xf numFmtId="42" fontId="21" fillId="12" borderId="49" xfId="1" applyNumberFormat="1" applyFont="1" applyFill="1" applyBorder="1"/>
    <xf numFmtId="42" fontId="21" fillId="10" borderId="50" xfId="1" applyNumberFormat="1" applyFont="1" applyFill="1" applyBorder="1"/>
    <xf numFmtId="0" fontId="4" fillId="11" borderId="0" xfId="1" applyFont="1" applyFill="1" applyBorder="1"/>
    <xf numFmtId="0" fontId="25" fillId="11" borderId="14" xfId="1" applyFont="1" applyFill="1" applyBorder="1"/>
    <xf numFmtId="0" fontId="21" fillId="11" borderId="51" xfId="1" applyFont="1" applyFill="1" applyBorder="1"/>
    <xf numFmtId="41" fontId="20" fillId="7" borderId="42" xfId="1" applyNumberFormat="1" applyFont="1" applyFill="1" applyBorder="1"/>
    <xf numFmtId="41" fontId="20" fillId="12" borderId="42" xfId="1" applyNumberFormat="1" applyFont="1" applyFill="1" applyBorder="1"/>
    <xf numFmtId="41" fontId="20" fillId="12" borderId="53" xfId="1" applyNumberFormat="1" applyFont="1" applyFill="1" applyBorder="1"/>
    <xf numFmtId="42" fontId="21" fillId="10" borderId="54" xfId="1" applyNumberFormat="1" applyFont="1" applyFill="1" applyBorder="1"/>
    <xf numFmtId="0" fontId="20" fillId="11" borderId="0" xfId="1" applyFont="1" applyFill="1" applyBorder="1"/>
    <xf numFmtId="41" fontId="20" fillId="11" borderId="0" xfId="1" applyNumberFormat="1" applyFont="1" applyFill="1" applyBorder="1"/>
    <xf numFmtId="42" fontId="21" fillId="11" borderId="0" xfId="1" applyNumberFormat="1" applyFont="1" applyFill="1" applyBorder="1"/>
    <xf numFmtId="6" fontId="4" fillId="11" borderId="0" xfId="1" applyNumberFormat="1" applyFont="1" applyFill="1" applyBorder="1"/>
    <xf numFmtId="10" fontId="4" fillId="11" borderId="0" xfId="1" applyNumberFormat="1" applyFont="1" applyFill="1" applyBorder="1"/>
    <xf numFmtId="165" fontId="4" fillId="11" borderId="0" xfId="1" applyNumberFormat="1" applyFont="1" applyFill="1"/>
    <xf numFmtId="0" fontId="7" fillId="7" borderId="30" xfId="1" applyFont="1" applyFill="1" applyBorder="1" applyAlignment="1">
      <alignment horizontal="center"/>
    </xf>
    <xf numFmtId="3" fontId="6" fillId="7" borderId="63" xfId="1" applyNumberFormat="1" applyFont="1" applyFill="1" applyBorder="1" applyAlignment="1">
      <alignment horizontal="center"/>
    </xf>
    <xf numFmtId="6" fontId="6" fillId="7" borderId="63" xfId="1" applyNumberFormat="1" applyFont="1" applyFill="1" applyBorder="1" applyAlignment="1">
      <alignment horizontal="center"/>
    </xf>
    <xf numFmtId="0" fontId="7" fillId="7" borderId="4" xfId="1" applyFont="1" applyFill="1" applyBorder="1"/>
    <xf numFmtId="38" fontId="6" fillId="0" borderId="0" xfId="0" applyNumberFormat="1" applyFont="1"/>
    <xf numFmtId="0" fontId="26" fillId="11" borderId="14" xfId="1" applyFont="1" applyFill="1" applyBorder="1"/>
    <xf numFmtId="0" fontId="2" fillId="0" borderId="0" xfId="10"/>
    <xf numFmtId="0" fontId="11" fillId="0" borderId="0" xfId="10" applyFont="1"/>
    <xf numFmtId="0" fontId="3" fillId="0" borderId="0" xfId="5"/>
    <xf numFmtId="0" fontId="15" fillId="0" borderId="8" xfId="5" applyFont="1" applyBorder="1" applyAlignment="1">
      <alignment horizontal="center"/>
    </xf>
    <xf numFmtId="0" fontId="15" fillId="0" borderId="6" xfId="5" applyFont="1" applyBorder="1" applyAlignment="1">
      <alignment horizontal="center"/>
    </xf>
    <xf numFmtId="0" fontId="15" fillId="0" borderId="9" xfId="5" applyFont="1" applyBorder="1" applyAlignment="1">
      <alignment horizontal="center"/>
    </xf>
    <xf numFmtId="0" fontId="6" fillId="9" borderId="0" xfId="0" applyFont="1" applyFill="1"/>
    <xf numFmtId="0" fontId="7" fillId="9" borderId="2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2" fontId="6" fillId="9" borderId="6" xfId="0" applyNumberFormat="1" applyFont="1" applyFill="1" applyBorder="1" applyAlignment="1">
      <alignment horizontal="center"/>
    </xf>
    <xf numFmtId="0" fontId="6" fillId="9" borderId="2" xfId="0" applyFont="1" applyFill="1" applyBorder="1"/>
    <xf numFmtId="0" fontId="6" fillId="9" borderId="5" xfId="0" applyFont="1" applyFill="1" applyBorder="1"/>
    <xf numFmtId="0" fontId="6" fillId="7" borderId="0" xfId="0" applyFont="1" applyFill="1"/>
    <xf numFmtId="0" fontId="7" fillId="7" borderId="8" xfId="0" applyFont="1" applyFill="1" applyBorder="1" applyAlignment="1">
      <alignment horizontal="right" vertical="center"/>
    </xf>
    <xf numFmtId="0" fontId="7" fillId="7" borderId="9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2" fontId="6" fillId="7" borderId="6" xfId="0" applyNumberFormat="1" applyFont="1" applyFill="1" applyBorder="1" applyAlignment="1">
      <alignment horizontal="center"/>
    </xf>
    <xf numFmtId="0" fontId="6" fillId="7" borderId="2" xfId="0" applyFont="1" applyFill="1" applyBorder="1"/>
    <xf numFmtId="0" fontId="6" fillId="7" borderId="5" xfId="0" applyFont="1" applyFill="1" applyBorder="1"/>
    <xf numFmtId="38" fontId="6" fillId="9" borderId="3" xfId="0" applyNumberFormat="1" applyFont="1" applyFill="1" applyBorder="1"/>
    <xf numFmtId="38" fontId="6" fillId="7" borderId="3" xfId="0" applyNumberFormat="1" applyFont="1" applyFill="1" applyBorder="1"/>
    <xf numFmtId="0" fontId="7" fillId="9" borderId="62" xfId="1" applyFont="1" applyFill="1" applyBorder="1"/>
    <xf numFmtId="0" fontId="7" fillId="9" borderId="4" xfId="1" applyFont="1" applyFill="1" applyBorder="1"/>
    <xf numFmtId="0" fontId="7" fillId="7" borderId="66" xfId="1" applyFont="1" applyFill="1" applyBorder="1"/>
    <xf numFmtId="0" fontId="7" fillId="0" borderId="0" xfId="1" applyFont="1" applyFill="1" applyBorder="1"/>
    <xf numFmtId="0" fontId="7" fillId="9" borderId="30" xfId="1" applyFont="1" applyFill="1" applyBorder="1" applyAlignment="1">
      <alignment horizontal="center"/>
    </xf>
    <xf numFmtId="0" fontId="7" fillId="7" borderId="18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6" fillId="9" borderId="62" xfId="1" applyFont="1" applyFill="1" applyBorder="1"/>
    <xf numFmtId="0" fontId="6" fillId="7" borderId="62" xfId="1" applyFont="1" applyFill="1" applyBorder="1"/>
    <xf numFmtId="0" fontId="6" fillId="7" borderId="66" xfId="1" applyFont="1" applyFill="1" applyBorder="1"/>
    <xf numFmtId="0" fontId="6" fillId="9" borderId="63" xfId="1" applyFont="1" applyFill="1" applyBorder="1"/>
    <xf numFmtId="0" fontId="6" fillId="7" borderId="63" xfId="1" applyFont="1" applyFill="1" applyBorder="1"/>
    <xf numFmtId="0" fontId="6" fillId="7" borderId="67" xfId="1" applyFont="1" applyFill="1" applyBorder="1"/>
    <xf numFmtId="3" fontId="6" fillId="9" borderId="63" xfId="1" applyNumberFormat="1" applyFont="1" applyFill="1" applyBorder="1" applyAlignment="1">
      <alignment horizontal="center"/>
    </xf>
    <xf numFmtId="3" fontId="6" fillId="9" borderId="3" xfId="1" applyNumberFormat="1" applyFont="1" applyFill="1" applyBorder="1" applyAlignment="1">
      <alignment horizontal="center"/>
    </xf>
    <xf numFmtId="3" fontId="6" fillId="7" borderId="3" xfId="1" applyNumberFormat="1" applyFont="1" applyFill="1" applyBorder="1" applyAlignment="1">
      <alignment horizontal="center"/>
    </xf>
    <xf numFmtId="3" fontId="6" fillId="7" borderId="67" xfId="1" applyNumberFormat="1" applyFont="1" applyFill="1" applyBorder="1" applyAlignment="1">
      <alignment horizontal="center"/>
    </xf>
    <xf numFmtId="6" fontId="6" fillId="9" borderId="63" xfId="1" applyNumberFormat="1" applyFont="1" applyFill="1" applyBorder="1" applyAlignment="1">
      <alignment horizontal="center"/>
    </xf>
    <xf numFmtId="6" fontId="6" fillId="9" borderId="3" xfId="1" applyNumberFormat="1" applyFont="1" applyFill="1" applyBorder="1" applyAlignment="1">
      <alignment horizontal="center"/>
    </xf>
    <xf numFmtId="6" fontId="6" fillId="7" borderId="3" xfId="1" applyNumberFormat="1" applyFont="1" applyFill="1" applyBorder="1" applyAlignment="1">
      <alignment horizontal="center"/>
    </xf>
    <xf numFmtId="6" fontId="6" fillId="7" borderId="67" xfId="1" applyNumberFormat="1" applyFont="1" applyFill="1" applyBorder="1" applyAlignment="1">
      <alignment horizontal="center"/>
    </xf>
    <xf numFmtId="6" fontId="6" fillId="9" borderId="62" xfId="1" applyNumberFormat="1" applyFont="1" applyFill="1" applyBorder="1"/>
    <xf numFmtId="6" fontId="6" fillId="9" borderId="4" xfId="1" applyNumberFormat="1" applyFont="1" applyFill="1" applyBorder="1"/>
    <xf numFmtId="6" fontId="6" fillId="7" borderId="62" xfId="1" applyNumberFormat="1" applyFont="1" applyFill="1" applyBorder="1"/>
    <xf numFmtId="6" fontId="6" fillId="7" borderId="4" xfId="1" applyNumberFormat="1" applyFont="1" applyFill="1" applyBorder="1"/>
    <xf numFmtId="6" fontId="6" fillId="7" borderId="66" xfId="1" applyNumberFormat="1" applyFont="1" applyFill="1" applyBorder="1"/>
    <xf numFmtId="0" fontId="6" fillId="9" borderId="70" xfId="1" applyFont="1" applyFill="1" applyBorder="1"/>
    <xf numFmtId="0" fontId="6" fillId="9" borderId="69" xfId="1" applyFont="1" applyFill="1" applyBorder="1"/>
    <xf numFmtId="0" fontId="6" fillId="7" borderId="70" xfId="1" applyFont="1" applyFill="1" applyBorder="1"/>
    <xf numFmtId="0" fontId="6" fillId="7" borderId="69" xfId="1" applyFont="1" applyFill="1" applyBorder="1"/>
    <xf numFmtId="0" fontId="6" fillId="7" borderId="71" xfId="1" applyFont="1" applyFill="1" applyBorder="1"/>
    <xf numFmtId="0" fontId="6" fillId="9" borderId="30" xfId="1" applyFont="1" applyFill="1" applyBorder="1"/>
    <xf numFmtId="0" fontId="6" fillId="7" borderId="30" xfId="1" applyFont="1" applyFill="1" applyBorder="1"/>
    <xf numFmtId="0" fontId="6" fillId="7" borderId="18" xfId="1" applyFont="1" applyFill="1" applyBorder="1"/>
    <xf numFmtId="6" fontId="6" fillId="9" borderId="64" xfId="1" applyNumberFormat="1" applyFont="1" applyFill="1" applyBorder="1" applyAlignment="1">
      <alignment horizontal="center"/>
    </xf>
    <xf numFmtId="6" fontId="6" fillId="9" borderId="2" xfId="1" applyNumberFormat="1" applyFont="1" applyFill="1" applyBorder="1" applyAlignment="1">
      <alignment horizontal="center"/>
    </xf>
    <xf numFmtId="6" fontId="6" fillId="7" borderId="64" xfId="1" applyNumberFormat="1" applyFont="1" applyFill="1" applyBorder="1" applyAlignment="1">
      <alignment horizontal="center"/>
    </xf>
    <xf numFmtId="6" fontId="6" fillId="7" borderId="2" xfId="1" applyNumberFormat="1" applyFont="1" applyFill="1" applyBorder="1" applyAlignment="1">
      <alignment horizontal="center"/>
    </xf>
    <xf numFmtId="6" fontId="6" fillId="7" borderId="68" xfId="1" applyNumberFormat="1" applyFont="1" applyFill="1" applyBorder="1" applyAlignment="1">
      <alignment horizontal="center"/>
    </xf>
    <xf numFmtId="38" fontId="6" fillId="9" borderId="2" xfId="0" applyNumberFormat="1" applyFont="1" applyFill="1" applyBorder="1"/>
    <xf numFmtId="38" fontId="6" fillId="7" borderId="2" xfId="0" applyNumberFormat="1" applyFont="1" applyFill="1" applyBorder="1"/>
    <xf numFmtId="38" fontId="7" fillId="9" borderId="3" xfId="0" applyNumberFormat="1" applyFont="1" applyFill="1" applyBorder="1"/>
    <xf numFmtId="38" fontId="7" fillId="7" borderId="3" xfId="0" applyNumberFormat="1" applyFont="1" applyFill="1" applyBorder="1"/>
    <xf numFmtId="0" fontId="6" fillId="7" borderId="25" xfId="0" applyFont="1" applyFill="1" applyBorder="1" applyAlignment="1">
      <alignment horizontal="center"/>
    </xf>
    <xf numFmtId="42" fontId="20" fillId="11" borderId="3" xfId="1" applyNumberFormat="1" applyFont="1" applyFill="1" applyBorder="1"/>
    <xf numFmtId="38" fontId="8" fillId="0" borderId="0" xfId="0" applyNumberFormat="1" applyFont="1"/>
    <xf numFmtId="38" fontId="7" fillId="9" borderId="5" xfId="0" applyNumberFormat="1" applyFont="1" applyFill="1" applyBorder="1"/>
    <xf numFmtId="38" fontId="7" fillId="7" borderId="5" xfId="0" applyNumberFormat="1" applyFont="1" applyFill="1" applyBorder="1"/>
    <xf numFmtId="0" fontId="6" fillId="11" borderId="4" xfId="1" applyFont="1" applyFill="1" applyBorder="1"/>
    <xf numFmtId="0" fontId="6" fillId="11" borderId="1" xfId="1" applyFont="1" applyFill="1" applyBorder="1" applyAlignment="1">
      <alignment horizontal="center"/>
    </xf>
    <xf numFmtId="0" fontId="7" fillId="11" borderId="1" xfId="1" applyFont="1" applyFill="1" applyBorder="1" applyAlignment="1">
      <alignment horizontal="center"/>
    </xf>
    <xf numFmtId="0" fontId="7" fillId="11" borderId="12" xfId="1" applyFont="1" applyFill="1" applyBorder="1" applyAlignment="1">
      <alignment horizontal="center"/>
    </xf>
    <xf numFmtId="0" fontId="6" fillId="11" borderId="3" xfId="1" applyFont="1" applyFill="1" applyBorder="1" applyAlignment="1">
      <alignment horizontal="right"/>
    </xf>
    <xf numFmtId="0" fontId="6" fillId="11" borderId="3" xfId="1" applyFont="1" applyFill="1" applyBorder="1" applyAlignment="1">
      <alignment horizontal="center"/>
    </xf>
    <xf numFmtId="0" fontId="6" fillId="11" borderId="3" xfId="1" applyFont="1" applyFill="1" applyBorder="1"/>
    <xf numFmtId="0" fontId="6" fillId="11" borderId="1" xfId="1" applyFont="1" applyFill="1" applyBorder="1"/>
    <xf numFmtId="0" fontId="6" fillId="11" borderId="7" xfId="1" applyFont="1" applyFill="1" applyBorder="1" applyAlignment="1">
      <alignment horizontal="right"/>
    </xf>
    <xf numFmtId="0" fontId="7" fillId="11" borderId="4" xfId="1" applyFont="1" applyFill="1" applyBorder="1"/>
    <xf numFmtId="9" fontId="6" fillId="11" borderId="3" xfId="1" applyNumberFormat="1" applyFont="1" applyFill="1" applyBorder="1" applyAlignment="1">
      <alignment horizontal="center"/>
    </xf>
    <xf numFmtId="0" fontId="7" fillId="11" borderId="1" xfId="1" applyFont="1" applyFill="1" applyBorder="1"/>
    <xf numFmtId="9" fontId="6" fillId="11" borderId="1" xfId="1" applyNumberFormat="1" applyFont="1" applyFill="1" applyBorder="1" applyAlignment="1">
      <alignment horizontal="center"/>
    </xf>
    <xf numFmtId="0" fontId="6" fillId="11" borderId="0" xfId="1" applyFont="1" applyFill="1"/>
    <xf numFmtId="0" fontId="6" fillId="11" borderId="0" xfId="1" applyFont="1" applyFill="1" applyAlignment="1">
      <alignment horizontal="center"/>
    </xf>
    <xf numFmtId="0" fontId="6" fillId="11" borderId="4" xfId="1" applyFont="1" applyFill="1" applyBorder="1" applyAlignment="1">
      <alignment horizontal="center"/>
    </xf>
    <xf numFmtId="0" fontId="9" fillId="11" borderId="3" xfId="1" applyFont="1" applyFill="1" applyBorder="1" applyAlignment="1">
      <alignment horizontal="right"/>
    </xf>
    <xf numFmtId="0" fontId="6" fillId="11" borderId="0" xfId="0" applyFont="1" applyFill="1"/>
    <xf numFmtId="0" fontId="6" fillId="11" borderId="0" xfId="0" applyFont="1" applyFill="1" applyAlignment="1">
      <alignment horizontal="center"/>
    </xf>
    <xf numFmtId="0" fontId="7" fillId="11" borderId="0" xfId="0" applyFont="1" applyFill="1" applyBorder="1" applyAlignment="1">
      <alignment horizontal="right"/>
    </xf>
    <xf numFmtId="0" fontId="7" fillId="11" borderId="0" xfId="0" applyFont="1" applyFill="1" applyBorder="1" applyAlignment="1">
      <alignment horizontal="left"/>
    </xf>
    <xf numFmtId="0" fontId="7" fillId="11" borderId="2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right"/>
    </xf>
    <xf numFmtId="0" fontId="7" fillId="11" borderId="1" xfId="0" applyFont="1" applyFill="1" applyBorder="1" applyAlignment="1">
      <alignment horizontal="center"/>
    </xf>
    <xf numFmtId="0" fontId="7" fillId="11" borderId="5" xfId="0" applyFont="1" applyFill="1" applyBorder="1" applyAlignment="1">
      <alignment horizontal="center"/>
    </xf>
    <xf numFmtId="0" fontId="7" fillId="11" borderId="6" xfId="0" applyFont="1" applyFill="1" applyBorder="1" applyAlignment="1">
      <alignment horizontal="left"/>
    </xf>
    <xf numFmtId="0" fontId="7" fillId="11" borderId="6" xfId="0" applyFont="1" applyFill="1" applyBorder="1" applyAlignment="1">
      <alignment horizontal="right"/>
    </xf>
    <xf numFmtId="9" fontId="6" fillId="11" borderId="6" xfId="0" applyNumberFormat="1" applyFont="1" applyFill="1" applyBorder="1" applyAlignment="1">
      <alignment horizontal="center"/>
    </xf>
    <xf numFmtId="2" fontId="6" fillId="11" borderId="6" xfId="0" applyNumberFormat="1" applyFont="1" applyFill="1" applyBorder="1" applyAlignment="1">
      <alignment horizontal="center"/>
    </xf>
    <xf numFmtId="0" fontId="7" fillId="11" borderId="2" xfId="0" applyFont="1" applyFill="1" applyBorder="1"/>
    <xf numFmtId="0" fontId="6" fillId="11" borderId="2" xfId="0" applyFont="1" applyFill="1" applyBorder="1" applyAlignment="1">
      <alignment horizontal="center"/>
    </xf>
    <xf numFmtId="0" fontId="6" fillId="11" borderId="2" xfId="0" applyFont="1" applyFill="1" applyBorder="1"/>
    <xf numFmtId="0" fontId="6" fillId="11" borderId="3" xfId="0" applyFont="1" applyFill="1" applyBorder="1" applyAlignment="1">
      <alignment horizontal="right"/>
    </xf>
    <xf numFmtId="38" fontId="6" fillId="11" borderId="3" xfId="0" applyNumberFormat="1" applyFont="1" applyFill="1" applyBorder="1" applyAlignment="1">
      <alignment horizontal="center"/>
    </xf>
    <xf numFmtId="38" fontId="6" fillId="11" borderId="3" xfId="0" applyNumberFormat="1" applyFont="1" applyFill="1" applyBorder="1"/>
    <xf numFmtId="10" fontId="6" fillId="11" borderId="3" xfId="0" applyNumberFormat="1" applyFont="1" applyFill="1" applyBorder="1" applyAlignment="1">
      <alignment horizontal="center"/>
    </xf>
    <xf numFmtId="10" fontId="6" fillId="11" borderId="5" xfId="0" applyNumberFormat="1" applyFont="1" applyFill="1" applyBorder="1" applyAlignment="1">
      <alignment horizontal="right"/>
    </xf>
    <xf numFmtId="38" fontId="7" fillId="11" borderId="5" xfId="0" applyNumberFormat="1" applyFont="1" applyFill="1" applyBorder="1" applyAlignment="1">
      <alignment horizontal="center"/>
    </xf>
    <xf numFmtId="38" fontId="7" fillId="11" borderId="5" xfId="0" applyNumberFormat="1" applyFont="1" applyFill="1" applyBorder="1"/>
    <xf numFmtId="10" fontId="6" fillId="11" borderId="2" xfId="0" applyNumberFormat="1" applyFont="1" applyFill="1" applyBorder="1" applyAlignment="1">
      <alignment horizontal="center"/>
    </xf>
    <xf numFmtId="38" fontId="6" fillId="11" borderId="2" xfId="0" applyNumberFormat="1" applyFont="1" applyFill="1" applyBorder="1" applyAlignment="1">
      <alignment horizontal="center"/>
    </xf>
    <xf numFmtId="0" fontId="6" fillId="11" borderId="7" xfId="0" applyFont="1" applyFill="1" applyBorder="1" applyAlignment="1">
      <alignment horizontal="right"/>
    </xf>
    <xf numFmtId="0" fontId="6" fillId="11" borderId="5" xfId="0" applyFont="1" applyFill="1" applyBorder="1" applyAlignment="1">
      <alignment horizontal="right"/>
    </xf>
    <xf numFmtId="38" fontId="7" fillId="11" borderId="3" xfId="0" applyNumberFormat="1" applyFont="1" applyFill="1" applyBorder="1" applyAlignment="1">
      <alignment horizontal="center"/>
    </xf>
    <xf numFmtId="38" fontId="7" fillId="11" borderId="3" xfId="0" applyNumberFormat="1" applyFont="1" applyFill="1" applyBorder="1"/>
    <xf numFmtId="38" fontId="6" fillId="11" borderId="2" xfId="0" applyNumberFormat="1" applyFont="1" applyFill="1" applyBorder="1"/>
    <xf numFmtId="0" fontId="7" fillId="11" borderId="5" xfId="0" applyFont="1" applyFill="1" applyBorder="1"/>
    <xf numFmtId="38" fontId="6" fillId="11" borderId="7" xfId="0" applyNumberFormat="1" applyFont="1" applyFill="1" applyBorder="1" applyAlignment="1">
      <alignment horizontal="center"/>
    </xf>
    <xf numFmtId="0" fontId="6" fillId="11" borderId="5" xfId="0" applyFont="1" applyFill="1" applyBorder="1"/>
    <xf numFmtId="0" fontId="0" fillId="11" borderId="0" xfId="0" applyFill="1"/>
    <xf numFmtId="168" fontId="21" fillId="11" borderId="50" xfId="1" applyNumberFormat="1" applyFont="1" applyFill="1" applyBorder="1"/>
    <xf numFmtId="41" fontId="20" fillId="11" borderId="3" xfId="1" applyNumberFormat="1" applyFont="1" applyFill="1" applyBorder="1"/>
    <xf numFmtId="10" fontId="21" fillId="11" borderId="54" xfId="1" applyNumberFormat="1" applyFont="1" applyFill="1" applyBorder="1" applyAlignment="1">
      <alignment horizontal="center"/>
    </xf>
    <xf numFmtId="41" fontId="20" fillId="11" borderId="52" xfId="1" applyNumberFormat="1" applyFont="1" applyFill="1" applyBorder="1"/>
    <xf numFmtId="41" fontId="20" fillId="11" borderId="42" xfId="1" applyNumberFormat="1" applyFont="1" applyFill="1" applyBorder="1"/>
    <xf numFmtId="0" fontId="6" fillId="11" borderId="25" xfId="0" applyFont="1" applyFill="1" applyBorder="1"/>
    <xf numFmtId="0" fontId="6" fillId="11" borderId="2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11" borderId="25" xfId="0" applyFont="1" applyFill="1" applyBorder="1"/>
    <xf numFmtId="0" fontId="6" fillId="11" borderId="25" xfId="0" applyFont="1" applyFill="1" applyBorder="1" applyAlignment="1">
      <alignment horizontal="right"/>
    </xf>
    <xf numFmtId="9" fontId="6" fillId="11" borderId="25" xfId="0" applyNumberFormat="1" applyFont="1" applyFill="1" applyBorder="1" applyAlignment="1">
      <alignment horizontal="center"/>
    </xf>
    <xf numFmtId="2" fontId="6" fillId="11" borderId="25" xfId="0" applyNumberFormat="1" applyFont="1" applyFill="1" applyBorder="1" applyAlignment="1">
      <alignment horizontal="center"/>
    </xf>
    <xf numFmtId="3" fontId="6" fillId="11" borderId="25" xfId="0" applyNumberFormat="1" applyFont="1" applyFill="1" applyBorder="1" applyAlignment="1">
      <alignment horizontal="center"/>
    </xf>
    <xf numFmtId="166" fontId="6" fillId="11" borderId="25" xfId="0" applyNumberFormat="1" applyFont="1" applyFill="1" applyBorder="1" applyAlignment="1">
      <alignment horizontal="center"/>
    </xf>
    <xf numFmtId="166" fontId="6" fillId="11" borderId="25" xfId="8" applyNumberFormat="1" applyFont="1" applyFill="1" applyBorder="1" applyAlignment="1">
      <alignment horizontal="center"/>
    </xf>
    <xf numFmtId="0" fontId="6" fillId="11" borderId="41" xfId="0" applyFont="1" applyFill="1" applyBorder="1" applyAlignment="1">
      <alignment horizontal="right"/>
    </xf>
    <xf numFmtId="9" fontId="6" fillId="11" borderId="41" xfId="0" applyNumberFormat="1" applyFont="1" applyFill="1" applyBorder="1" applyAlignment="1">
      <alignment horizontal="center"/>
    </xf>
    <xf numFmtId="10" fontId="6" fillId="11" borderId="41" xfId="0" applyNumberFormat="1" applyFont="1" applyFill="1" applyBorder="1" applyAlignment="1">
      <alignment horizontal="center"/>
    </xf>
    <xf numFmtId="0" fontId="6" fillId="11" borderId="41" xfId="0" applyFont="1" applyFill="1" applyBorder="1" applyAlignment="1">
      <alignment horizontal="center"/>
    </xf>
    <xf numFmtId="0" fontId="7" fillId="11" borderId="32" xfId="0" applyFont="1" applyFill="1" applyBorder="1"/>
    <xf numFmtId="0" fontId="6" fillId="11" borderId="32" xfId="0" applyFont="1" applyFill="1" applyBorder="1" applyAlignment="1">
      <alignment horizontal="center"/>
    </xf>
    <xf numFmtId="38" fontId="6" fillId="11" borderId="32" xfId="0" applyNumberFormat="1" applyFont="1" applyFill="1" applyBorder="1" applyAlignment="1">
      <alignment horizontal="center"/>
    </xf>
    <xf numFmtId="38" fontId="6" fillId="11" borderId="25" xfId="0" applyNumberFormat="1" applyFont="1" applyFill="1" applyBorder="1" applyAlignment="1">
      <alignment horizontal="center"/>
    </xf>
    <xf numFmtId="0" fontId="7" fillId="11" borderId="41" xfId="0" applyFont="1" applyFill="1" applyBorder="1" applyAlignment="1">
      <alignment horizontal="right"/>
    </xf>
    <xf numFmtId="38" fontId="6" fillId="11" borderId="41" xfId="0" applyNumberFormat="1" applyFont="1" applyFill="1" applyBorder="1" applyAlignment="1">
      <alignment horizontal="center"/>
    </xf>
    <xf numFmtId="38" fontId="7" fillId="11" borderId="41" xfId="0" applyNumberFormat="1" applyFont="1" applyFill="1" applyBorder="1" applyAlignment="1">
      <alignment horizontal="center"/>
    </xf>
    <xf numFmtId="167" fontId="6" fillId="11" borderId="25" xfId="0" applyNumberFormat="1" applyFont="1" applyFill="1" applyBorder="1" applyAlignment="1">
      <alignment horizontal="center"/>
    </xf>
    <xf numFmtId="0" fontId="7" fillId="11" borderId="41" xfId="0" applyFont="1" applyFill="1" applyBorder="1" applyAlignment="1">
      <alignment horizontal="center"/>
    </xf>
    <xf numFmtId="6" fontId="6" fillId="11" borderId="25" xfId="0" applyNumberFormat="1" applyFont="1" applyFill="1" applyBorder="1" applyAlignment="1">
      <alignment horizontal="center"/>
    </xf>
    <xf numFmtId="0" fontId="7" fillId="11" borderId="33" xfId="0" applyFont="1" applyFill="1" applyBorder="1"/>
    <xf numFmtId="0" fontId="7" fillId="11" borderId="34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Continuous"/>
    </xf>
    <xf numFmtId="0" fontId="19" fillId="11" borderId="35" xfId="0" applyFont="1" applyFill="1" applyBorder="1"/>
    <xf numFmtId="0" fontId="19" fillId="11" borderId="0" xfId="0" applyFont="1" applyFill="1" applyBorder="1" applyAlignment="1">
      <alignment horizontal="center"/>
    </xf>
    <xf numFmtId="0" fontId="6" fillId="11" borderId="35" xfId="0" applyFont="1" applyFill="1" applyBorder="1"/>
    <xf numFmtId="3" fontId="6" fillId="11" borderId="0" xfId="0" applyNumberFormat="1" applyFont="1" applyFill="1" applyBorder="1" applyAlignment="1">
      <alignment horizontal="center"/>
    </xf>
    <xf numFmtId="0" fontId="7" fillId="11" borderId="36" xfId="0" applyFont="1" applyFill="1" applyBorder="1"/>
    <xf numFmtId="3" fontId="6" fillId="11" borderId="37" xfId="0" applyNumberFormat="1" applyFont="1" applyFill="1" applyBorder="1" applyAlignment="1">
      <alignment horizontal="center"/>
    </xf>
    <xf numFmtId="3" fontId="7" fillId="11" borderId="37" xfId="0" applyNumberFormat="1" applyFont="1" applyFill="1" applyBorder="1" applyAlignment="1">
      <alignment horizontal="center"/>
    </xf>
    <xf numFmtId="0" fontId="6" fillId="11" borderId="42" xfId="0" applyFont="1" applyFill="1" applyBorder="1" applyAlignment="1">
      <alignment horizontal="right"/>
    </xf>
    <xf numFmtId="166" fontId="6" fillId="11" borderId="41" xfId="0" applyNumberFormat="1" applyFont="1" applyFill="1" applyBorder="1" applyAlignment="1">
      <alignment horizontal="center"/>
    </xf>
    <xf numFmtId="166" fontId="6" fillId="11" borderId="41" xfId="8" applyNumberFormat="1" applyFont="1" applyFill="1" applyBorder="1" applyAlignment="1">
      <alignment horizontal="center"/>
    </xf>
    <xf numFmtId="0" fontId="7" fillId="11" borderId="0" xfId="0" applyFont="1" applyFill="1" applyBorder="1" applyAlignment="1">
      <alignment horizontal="right" vertical="center"/>
    </xf>
    <xf numFmtId="0" fontId="7" fillId="11" borderId="0" xfId="0" applyFont="1" applyFill="1" applyBorder="1" applyAlignment="1">
      <alignment horizontal="left" vertical="center"/>
    </xf>
    <xf numFmtId="9" fontId="6" fillId="11" borderId="25" xfId="3" applyFont="1" applyFill="1" applyBorder="1" applyAlignment="1">
      <alignment horizontal="center"/>
    </xf>
    <xf numFmtId="0" fontId="7" fillId="11" borderId="0" xfId="0" applyFont="1" applyFill="1" applyBorder="1"/>
    <xf numFmtId="3" fontId="7" fillId="11" borderId="0" xfId="0" applyNumberFormat="1" applyFont="1" applyFill="1" applyBorder="1" applyAlignment="1">
      <alignment horizontal="center"/>
    </xf>
    <xf numFmtId="0" fontId="7" fillId="11" borderId="0" xfId="1" applyFont="1" applyFill="1" applyAlignment="1">
      <alignment horizontal="center"/>
    </xf>
    <xf numFmtId="3" fontId="6" fillId="11" borderId="3" xfId="1" applyNumberFormat="1" applyFont="1" applyFill="1" applyBorder="1" applyAlignment="1">
      <alignment horizontal="center"/>
    </xf>
    <xf numFmtId="6" fontId="6" fillId="11" borderId="3" xfId="1" applyNumberFormat="1" applyFont="1" applyFill="1" applyBorder="1" applyAlignment="1">
      <alignment horizontal="center"/>
    </xf>
    <xf numFmtId="0" fontId="6" fillId="11" borderId="1" xfId="1" applyFont="1" applyFill="1" applyBorder="1" applyAlignment="1">
      <alignment horizontal="right"/>
    </xf>
    <xf numFmtId="6" fontId="6" fillId="11" borderId="1" xfId="1" applyNumberFormat="1" applyFont="1" applyFill="1" applyBorder="1" applyAlignment="1">
      <alignment horizontal="center"/>
    </xf>
    <xf numFmtId="0" fontId="6" fillId="11" borderId="35" xfId="1" applyFont="1" applyFill="1" applyBorder="1" applyAlignment="1">
      <alignment horizontal="right"/>
    </xf>
    <xf numFmtId="5" fontId="6" fillId="11" borderId="3" xfId="1" applyNumberFormat="1" applyFont="1" applyFill="1" applyBorder="1" applyAlignment="1">
      <alignment horizontal="center"/>
    </xf>
    <xf numFmtId="6" fontId="6" fillId="11" borderId="4" xfId="1" applyNumberFormat="1" applyFont="1" applyFill="1" applyBorder="1" applyAlignment="1">
      <alignment horizontal="center"/>
    </xf>
    <xf numFmtId="0" fontId="7" fillId="11" borderId="69" xfId="1" applyFont="1" applyFill="1" applyBorder="1"/>
    <xf numFmtId="6" fontId="6" fillId="11" borderId="69" xfId="1" applyNumberFormat="1" applyFont="1" applyFill="1" applyBorder="1" applyAlignment="1">
      <alignment horizontal="center"/>
    </xf>
    <xf numFmtId="0" fontId="6" fillId="11" borderId="69" xfId="1" applyFont="1" applyFill="1" applyBorder="1" applyAlignment="1">
      <alignment horizontal="center"/>
    </xf>
    <xf numFmtId="0" fontId="7" fillId="11" borderId="62" xfId="1" applyFont="1" applyFill="1" applyBorder="1"/>
    <xf numFmtId="0" fontId="7" fillId="11" borderId="30" xfId="1" applyFont="1" applyFill="1" applyBorder="1" applyAlignment="1">
      <alignment horizontal="center"/>
    </xf>
    <xf numFmtId="0" fontId="6" fillId="11" borderId="62" xfId="1" applyFont="1" applyFill="1" applyBorder="1"/>
    <xf numFmtId="0" fontId="6" fillId="11" borderId="63" xfId="1" applyFont="1" applyFill="1" applyBorder="1"/>
    <xf numFmtId="3" fontId="6" fillId="11" borderId="63" xfId="1" applyNumberFormat="1" applyFont="1" applyFill="1" applyBorder="1" applyAlignment="1">
      <alignment horizontal="center"/>
    </xf>
    <xf numFmtId="6" fontId="6" fillId="11" borderId="63" xfId="1" applyNumberFormat="1" applyFont="1" applyFill="1" applyBorder="1" applyAlignment="1">
      <alignment horizontal="center"/>
    </xf>
    <xf numFmtId="6" fontId="6" fillId="11" borderId="63" xfId="1" applyNumberFormat="1" applyFont="1" applyFill="1" applyBorder="1"/>
    <xf numFmtId="6" fontId="6" fillId="11" borderId="3" xfId="1" applyNumberFormat="1" applyFont="1" applyFill="1" applyBorder="1"/>
    <xf numFmtId="6" fontId="6" fillId="11" borderId="2" xfId="1" applyNumberFormat="1" applyFont="1" applyFill="1" applyBorder="1" applyAlignment="1">
      <alignment horizontal="center"/>
    </xf>
    <xf numFmtId="6" fontId="6" fillId="11" borderId="30" xfId="1" applyNumberFormat="1" applyFont="1" applyFill="1" applyBorder="1" applyAlignment="1">
      <alignment horizontal="center"/>
    </xf>
    <xf numFmtId="6" fontId="6" fillId="11" borderId="62" xfId="1" applyNumberFormat="1" applyFont="1" applyFill="1" applyBorder="1"/>
    <xf numFmtId="6" fontId="6" fillId="11" borderId="4" xfId="1" applyNumberFormat="1" applyFont="1" applyFill="1" applyBorder="1"/>
    <xf numFmtId="0" fontId="6" fillId="11" borderId="70" xfId="1" applyFont="1" applyFill="1" applyBorder="1"/>
    <xf numFmtId="0" fontId="6" fillId="11" borderId="69" xfId="1" applyFont="1" applyFill="1" applyBorder="1"/>
    <xf numFmtId="0" fontId="6" fillId="11" borderId="30" xfId="1" applyFont="1" applyFill="1" applyBorder="1"/>
    <xf numFmtId="0" fontId="7" fillId="11" borderId="0" xfId="1" applyFont="1" applyFill="1" applyBorder="1" applyAlignment="1">
      <alignment horizontal="right" vertical="center"/>
    </xf>
    <xf numFmtId="0" fontId="7" fillId="11" borderId="0" xfId="1" applyFont="1" applyFill="1" applyBorder="1" applyAlignment="1">
      <alignment horizontal="left" vertical="center"/>
    </xf>
    <xf numFmtId="0" fontId="3" fillId="11" borderId="0" xfId="5" applyFill="1"/>
    <xf numFmtId="0" fontId="3" fillId="11" borderId="0" xfId="5" applyFill="1" applyAlignment="1">
      <alignment horizontal="center"/>
    </xf>
    <xf numFmtId="0" fontId="27" fillId="11" borderId="25" xfId="0" applyFont="1" applyFill="1" applyBorder="1" applyAlignment="1">
      <alignment horizontal="right"/>
    </xf>
    <xf numFmtId="0" fontId="7" fillId="11" borderId="17" xfId="0" applyFont="1" applyFill="1" applyBorder="1"/>
    <xf numFmtId="0" fontId="6" fillId="0" borderId="28" xfId="0" applyFont="1" applyBorder="1"/>
    <xf numFmtId="9" fontId="28" fillId="11" borderId="0" xfId="5" applyNumberFormat="1" applyFont="1" applyFill="1"/>
    <xf numFmtId="0" fontId="29" fillId="11" borderId="0" xfId="5" applyFont="1" applyFill="1"/>
    <xf numFmtId="0" fontId="30" fillId="11" borderId="0" xfId="5" applyFont="1" applyFill="1"/>
    <xf numFmtId="0" fontId="6" fillId="11" borderId="26" xfId="0" applyFont="1" applyFill="1" applyBorder="1"/>
    <xf numFmtId="0" fontId="30" fillId="3" borderId="29" xfId="4" applyFont="1" applyBorder="1"/>
    <xf numFmtId="0" fontId="31" fillId="8" borderId="25" xfId="5" applyFont="1" applyFill="1" applyBorder="1" applyAlignment="1">
      <alignment horizontal="center"/>
    </xf>
    <xf numFmtId="0" fontId="31" fillId="8" borderId="27" xfId="5" applyFont="1" applyFill="1" applyBorder="1" applyAlignment="1">
      <alignment horizontal="center"/>
    </xf>
    <xf numFmtId="0" fontId="31" fillId="8" borderId="9" xfId="5" applyFont="1" applyFill="1" applyBorder="1" applyAlignment="1">
      <alignment horizontal="center"/>
    </xf>
    <xf numFmtId="44" fontId="30" fillId="3" borderId="29" xfId="4" applyNumberFormat="1" applyFont="1" applyBorder="1"/>
    <xf numFmtId="0" fontId="30" fillId="0" borderId="25" xfId="5" applyFont="1" applyBorder="1" applyAlignment="1">
      <alignment horizontal="center"/>
    </xf>
    <xf numFmtId="164" fontId="6" fillId="0" borderId="25" xfId="7" applyNumberFormat="1" applyFont="1" applyBorder="1" applyAlignment="1">
      <alignment horizontal="center"/>
    </xf>
    <xf numFmtId="164" fontId="6" fillId="0" borderId="27" xfId="7" applyNumberFormat="1" applyFont="1" applyBorder="1" applyAlignment="1">
      <alignment horizontal="center"/>
    </xf>
    <xf numFmtId="164" fontId="6" fillId="0" borderId="9" xfId="7" applyNumberFormat="1" applyFont="1" applyBorder="1" applyAlignment="1">
      <alignment horizontal="center"/>
    </xf>
    <xf numFmtId="164" fontId="31" fillId="0" borderId="25" xfId="7" applyNumberFormat="1" applyFont="1" applyBorder="1" applyAlignment="1">
      <alignment horizontal="center"/>
    </xf>
    <xf numFmtId="0" fontId="6" fillId="0" borderId="29" xfId="0" applyFont="1" applyBorder="1"/>
    <xf numFmtId="3" fontId="30" fillId="3" borderId="29" xfId="4" applyNumberFormat="1" applyFont="1" applyBorder="1"/>
    <xf numFmtId="164" fontId="6" fillId="3" borderId="29" xfId="2" applyNumberFormat="1" applyFont="1" applyFill="1" applyBorder="1"/>
    <xf numFmtId="0" fontId="31" fillId="0" borderId="25" xfId="5" applyFont="1" applyBorder="1" applyAlignment="1">
      <alignment horizontal="center"/>
    </xf>
    <xf numFmtId="164" fontId="31" fillId="0" borderId="27" xfId="7" applyNumberFormat="1" applyFont="1" applyBorder="1" applyAlignment="1">
      <alignment horizontal="center"/>
    </xf>
    <xf numFmtId="164" fontId="31" fillId="0" borderId="9" xfId="7" applyNumberFormat="1" applyFont="1" applyBorder="1" applyAlignment="1">
      <alignment horizontal="center"/>
    </xf>
    <xf numFmtId="9" fontId="6" fillId="0" borderId="0" xfId="3" applyFont="1"/>
    <xf numFmtId="164" fontId="30" fillId="3" borderId="29" xfId="2" applyNumberFormat="1" applyFont="1" applyFill="1" applyBorder="1"/>
    <xf numFmtId="9" fontId="32" fillId="0" borderId="9" xfId="6" applyFont="1" applyBorder="1" applyAlignment="1">
      <alignment horizontal="center"/>
    </xf>
    <xf numFmtId="9" fontId="30" fillId="3" borderId="29" xfId="4" applyNumberFormat="1" applyFont="1" applyBorder="1"/>
    <xf numFmtId="0" fontId="6" fillId="11" borderId="30" xfId="0" applyFont="1" applyFill="1" applyBorder="1"/>
    <xf numFmtId="165" fontId="30" fillId="3" borderId="18" xfId="4" applyNumberFormat="1" applyFont="1" applyBorder="1"/>
    <xf numFmtId="165" fontId="30" fillId="3" borderId="29" xfId="4" applyNumberFormat="1" applyFont="1" applyBorder="1"/>
    <xf numFmtId="9" fontId="30" fillId="3" borderId="18" xfId="4" applyNumberFormat="1" applyFont="1" applyBorder="1"/>
    <xf numFmtId="9" fontId="6" fillId="0" borderId="9" xfId="6" applyFont="1" applyBorder="1" applyAlignment="1">
      <alignment horizontal="center"/>
    </xf>
    <xf numFmtId="164" fontId="6" fillId="0" borderId="0" xfId="0" applyNumberFormat="1" applyFont="1"/>
    <xf numFmtId="0" fontId="6" fillId="11" borderId="28" xfId="0" applyFont="1" applyFill="1" applyBorder="1"/>
    <xf numFmtId="0" fontId="30" fillId="11" borderId="0" xfId="5" applyFont="1" applyFill="1" applyAlignment="1">
      <alignment horizontal="center"/>
    </xf>
    <xf numFmtId="8" fontId="30" fillId="3" borderId="29" xfId="4" applyNumberFormat="1" applyFont="1" applyBorder="1"/>
    <xf numFmtId="0" fontId="30" fillId="11" borderId="0" xfId="5" applyFont="1" applyFill="1" applyAlignment="1">
      <alignment vertical="center"/>
    </xf>
    <xf numFmtId="0" fontId="30" fillId="11" borderId="0" xfId="5" applyFont="1" applyFill="1" applyAlignment="1">
      <alignment vertical="center" wrapText="1"/>
    </xf>
    <xf numFmtId="9" fontId="30" fillId="3" borderId="0" xfId="4" applyNumberFormat="1" applyFont="1" applyAlignment="1">
      <alignment horizontal="right" vertical="center"/>
    </xf>
    <xf numFmtId="0" fontId="30" fillId="0" borderId="0" xfId="5" applyFont="1" applyAlignment="1">
      <alignment horizontal="center"/>
    </xf>
    <xf numFmtId="164" fontId="30" fillId="3" borderId="29" xfId="4" applyNumberFormat="1" applyFont="1" applyBorder="1"/>
    <xf numFmtId="164" fontId="6" fillId="11" borderId="0" xfId="0" applyNumberFormat="1" applyFont="1" applyFill="1"/>
    <xf numFmtId="0" fontId="7" fillId="11" borderId="0" xfId="0" applyFont="1" applyFill="1"/>
    <xf numFmtId="164" fontId="7" fillId="11" borderId="0" xfId="0" applyNumberFormat="1" applyFont="1" applyFill="1"/>
    <xf numFmtId="6" fontId="30" fillId="3" borderId="29" xfId="4" applyNumberFormat="1" applyFont="1" applyBorder="1"/>
    <xf numFmtId="6" fontId="6" fillId="0" borderId="29" xfId="0" applyNumberFormat="1" applyFont="1" applyBorder="1"/>
    <xf numFmtId="10" fontId="30" fillId="3" borderId="29" xfId="4" applyNumberFormat="1" applyFont="1" applyBorder="1"/>
    <xf numFmtId="164" fontId="6" fillId="11" borderId="0" xfId="2" applyNumberFormat="1" applyFont="1" applyFill="1"/>
    <xf numFmtId="0" fontId="6" fillId="11" borderId="0" xfId="0" applyFont="1" applyFill="1" applyBorder="1"/>
    <xf numFmtId="0" fontId="6" fillId="11" borderId="65" xfId="0" applyFont="1" applyFill="1" applyBorder="1"/>
    <xf numFmtId="44" fontId="6" fillId="11" borderId="0" xfId="0" applyNumberFormat="1" applyFont="1" applyFill="1"/>
    <xf numFmtId="38" fontId="6" fillId="11" borderId="0" xfId="0" applyNumberFormat="1" applyFont="1" applyFill="1"/>
    <xf numFmtId="44" fontId="6" fillId="0" borderId="0" xfId="0" applyNumberFormat="1" applyFont="1"/>
    <xf numFmtId="0" fontId="33" fillId="0" borderId="0" xfId="0" applyFont="1"/>
    <xf numFmtId="44" fontId="6" fillId="0" borderId="0" xfId="8" applyFont="1"/>
    <xf numFmtId="0" fontId="34" fillId="11" borderId="33" xfId="1" applyFont="1" applyFill="1" applyBorder="1" applyAlignment="1">
      <alignment horizontal="centerContinuous"/>
    </xf>
    <xf numFmtId="0" fontId="35" fillId="11" borderId="48" xfId="1" applyFont="1" applyFill="1" applyBorder="1"/>
    <xf numFmtId="0" fontId="6" fillId="11" borderId="48" xfId="1" applyFont="1" applyFill="1" applyBorder="1"/>
    <xf numFmtId="42" fontId="6" fillId="11" borderId="50" xfId="1" applyNumberFormat="1" applyFont="1" applyFill="1" applyBorder="1"/>
    <xf numFmtId="9" fontId="6" fillId="11" borderId="50" xfId="3" applyNumberFormat="1" applyFont="1" applyFill="1" applyBorder="1" applyAlignment="1">
      <alignment horizontal="center"/>
    </xf>
    <xf numFmtId="0" fontId="7" fillId="11" borderId="52" xfId="1" applyFont="1" applyFill="1" applyBorder="1"/>
    <xf numFmtId="0" fontId="7" fillId="11" borderId="42" xfId="1" applyFont="1" applyFill="1" applyBorder="1"/>
    <xf numFmtId="42" fontId="7" fillId="11" borderId="54" xfId="1" applyNumberFormat="1" applyFont="1" applyFill="1" applyBorder="1"/>
    <xf numFmtId="9" fontId="7" fillId="11" borderId="54" xfId="3" applyNumberFormat="1" applyFont="1" applyFill="1" applyBorder="1" applyAlignment="1">
      <alignment horizontal="center"/>
    </xf>
    <xf numFmtId="0" fontId="6" fillId="11" borderId="50" xfId="1" applyFont="1" applyFill="1" applyBorder="1"/>
    <xf numFmtId="9" fontId="6" fillId="11" borderId="57" xfId="3" applyNumberFormat="1" applyFont="1" applyFill="1" applyBorder="1" applyAlignment="1">
      <alignment horizontal="center"/>
    </xf>
    <xf numFmtId="0" fontId="27" fillId="11" borderId="0" xfId="0" applyFont="1" applyFill="1" applyBorder="1" applyAlignment="1">
      <alignment horizontal="right"/>
    </xf>
    <xf numFmtId="0" fontId="34" fillId="11" borderId="36" xfId="0" applyFont="1" applyFill="1" applyBorder="1" applyAlignment="1">
      <alignment horizontal="centerContinuous"/>
    </xf>
    <xf numFmtId="0" fontId="29" fillId="11" borderId="40" xfId="1" applyFont="1" applyFill="1" applyBorder="1" applyAlignment="1">
      <alignment horizontal="centerContinuous"/>
    </xf>
    <xf numFmtId="0" fontId="27" fillId="11" borderId="25" xfId="0" applyFont="1" applyFill="1" applyBorder="1" applyAlignment="1">
      <alignment horizontal="left"/>
    </xf>
    <xf numFmtId="0" fontId="29" fillId="0" borderId="0" xfId="5" applyFont="1"/>
    <xf numFmtId="9" fontId="28" fillId="0" borderId="0" xfId="5" applyNumberFormat="1" applyFont="1"/>
    <xf numFmtId="0" fontId="29" fillId="0" borderId="10" xfId="5" applyFont="1" applyBorder="1"/>
    <xf numFmtId="0" fontId="29" fillId="0" borderId="28" xfId="5" applyFont="1" applyBorder="1"/>
    <xf numFmtId="0" fontId="29" fillId="0" borderId="31" xfId="5" applyFont="1" applyBorder="1"/>
    <xf numFmtId="0" fontId="29" fillId="0" borderId="25" xfId="5" applyFont="1" applyBorder="1"/>
    <xf numFmtId="0" fontId="6" fillId="7" borderId="17" xfId="5" applyFont="1" applyFill="1" applyBorder="1"/>
    <xf numFmtId="3" fontId="6" fillId="7" borderId="31" xfId="5" applyNumberFormat="1" applyFont="1" applyFill="1" applyBorder="1" applyAlignment="1">
      <alignment horizontal="center"/>
    </xf>
    <xf numFmtId="3" fontId="6" fillId="7" borderId="28" xfId="5" applyNumberFormat="1" applyFont="1" applyFill="1" applyBorder="1" applyAlignment="1">
      <alignment horizontal="center"/>
    </xf>
    <xf numFmtId="3" fontId="6" fillId="7" borderId="17" xfId="5" applyNumberFormat="1" applyFont="1" applyFill="1" applyBorder="1" applyAlignment="1">
      <alignment horizontal="center"/>
    </xf>
    <xf numFmtId="3" fontId="6" fillId="0" borderId="26" xfId="5" applyNumberFormat="1" applyFont="1" applyBorder="1" applyAlignment="1">
      <alignment horizontal="center"/>
    </xf>
    <xf numFmtId="0" fontId="6" fillId="0" borderId="30" xfId="5" applyFont="1" applyBorder="1" applyAlignment="1">
      <alignment horizontal="right"/>
    </xf>
    <xf numFmtId="3" fontId="6" fillId="0" borderId="18" xfId="5" applyNumberFormat="1" applyFont="1" applyBorder="1" applyAlignment="1">
      <alignment horizontal="center"/>
    </xf>
    <xf numFmtId="0" fontId="7" fillId="0" borderId="30" xfId="5" applyFont="1" applyFill="1" applyBorder="1" applyAlignment="1">
      <alignment horizontal="left"/>
    </xf>
    <xf numFmtId="3" fontId="7" fillId="0" borderId="30" xfId="5" applyNumberFormat="1" applyFont="1" applyBorder="1" applyAlignment="1">
      <alignment horizontal="center"/>
    </xf>
    <xf numFmtId="3" fontId="7" fillId="0" borderId="32" xfId="5" applyNumberFormat="1" applyFont="1" applyBorder="1" applyAlignment="1">
      <alignment horizontal="center"/>
    </xf>
    <xf numFmtId="0" fontId="29" fillId="11" borderId="0" xfId="5" applyFont="1" applyFill="1" applyAlignment="1">
      <alignment horizontal="center"/>
    </xf>
    <xf numFmtId="0" fontId="6" fillId="11" borderId="26" xfId="5" applyFont="1" applyFill="1" applyBorder="1" applyAlignment="1">
      <alignment horizontal="right"/>
    </xf>
    <xf numFmtId="3" fontId="6" fillId="11" borderId="26" xfId="5" applyNumberFormat="1" applyFont="1" applyFill="1" applyBorder="1" applyAlignment="1">
      <alignment horizontal="center"/>
    </xf>
    <xf numFmtId="3" fontId="6" fillId="11" borderId="29" xfId="5" applyNumberFormat="1" applyFont="1" applyFill="1" applyBorder="1" applyAlignment="1">
      <alignment horizontal="center"/>
    </xf>
    <xf numFmtId="0" fontId="6" fillId="11" borderId="30" xfId="5" applyFont="1" applyFill="1" applyBorder="1" applyAlignment="1">
      <alignment horizontal="right"/>
    </xf>
    <xf numFmtId="3" fontId="6" fillId="11" borderId="18" xfId="5" applyNumberFormat="1" applyFont="1" applyFill="1" applyBorder="1" applyAlignment="1">
      <alignment horizontal="center"/>
    </xf>
    <xf numFmtId="0" fontId="7" fillId="11" borderId="26" xfId="5" applyFont="1" applyFill="1" applyBorder="1" applyAlignment="1">
      <alignment horizontal="left"/>
    </xf>
    <xf numFmtId="3" fontId="7" fillId="11" borderId="26" xfId="5" applyNumberFormat="1" applyFont="1" applyFill="1" applyBorder="1" applyAlignment="1">
      <alignment horizontal="center"/>
    </xf>
    <xf numFmtId="0" fontId="29" fillId="11" borderId="10" xfId="5" applyFont="1" applyFill="1" applyBorder="1"/>
    <xf numFmtId="0" fontId="29" fillId="11" borderId="28" xfId="5" applyFont="1" applyFill="1" applyBorder="1"/>
    <xf numFmtId="0" fontId="29" fillId="11" borderId="31" xfId="5" applyFont="1" applyFill="1" applyBorder="1"/>
    <xf numFmtId="0" fontId="29" fillId="11" borderId="25" xfId="5" applyFont="1" applyFill="1" applyBorder="1"/>
    <xf numFmtId="164" fontId="29" fillId="11" borderId="0" xfId="2" applyNumberFormat="1" applyFont="1" applyFill="1"/>
    <xf numFmtId="3" fontId="6" fillId="11" borderId="30" xfId="5" applyNumberFormat="1" applyFont="1" applyFill="1" applyBorder="1" applyAlignment="1">
      <alignment horizontal="center"/>
    </xf>
    <xf numFmtId="0" fontId="6" fillId="11" borderId="29" xfId="5" applyFont="1" applyFill="1" applyBorder="1" applyAlignment="1">
      <alignment horizontal="center"/>
    </xf>
    <xf numFmtId="0" fontId="6" fillId="11" borderId="26" xfId="5" applyFont="1" applyFill="1" applyBorder="1" applyAlignment="1">
      <alignment horizontal="center"/>
    </xf>
    <xf numFmtId="0" fontId="7" fillId="11" borderId="30" xfId="5" applyFont="1" applyFill="1" applyBorder="1" applyAlignment="1">
      <alignment horizontal="left"/>
    </xf>
    <xf numFmtId="3" fontId="7" fillId="11" borderId="30" xfId="5" applyNumberFormat="1" applyFont="1" applyFill="1" applyBorder="1" applyAlignment="1">
      <alignment horizontal="center"/>
    </xf>
    <xf numFmtId="3" fontId="7" fillId="11" borderId="32" xfId="5" applyNumberFormat="1" applyFont="1" applyFill="1" applyBorder="1" applyAlignment="1">
      <alignment horizontal="center"/>
    </xf>
    <xf numFmtId="0" fontId="29" fillId="11" borderId="1" xfId="5" applyFont="1" applyFill="1" applyBorder="1"/>
    <xf numFmtId="0" fontId="6" fillId="11" borderId="30" xfId="5" applyFont="1" applyFill="1" applyBorder="1" applyAlignment="1">
      <alignment horizontal="center"/>
    </xf>
    <xf numFmtId="0" fontId="6" fillId="11" borderId="18" xfId="5" applyFont="1" applyFill="1" applyBorder="1" applyAlignment="1">
      <alignment horizontal="center"/>
    </xf>
    <xf numFmtId="0" fontId="29" fillId="11" borderId="0" xfId="5" applyFont="1" applyFill="1" applyBorder="1"/>
    <xf numFmtId="0" fontId="29" fillId="11" borderId="9" xfId="5" applyFont="1" applyFill="1" applyBorder="1"/>
    <xf numFmtId="0" fontId="29" fillId="11" borderId="8" xfId="5" applyFont="1" applyFill="1" applyBorder="1"/>
    <xf numFmtId="3" fontId="29" fillId="11" borderId="0" xfId="5" applyNumberFormat="1" applyFont="1" applyFill="1"/>
    <xf numFmtId="164" fontId="29" fillId="11" borderId="0" xfId="5" applyNumberFormat="1" applyFont="1" applyFill="1"/>
    <xf numFmtId="3" fontId="7" fillId="11" borderId="72" xfId="5" applyNumberFormat="1" applyFont="1" applyFill="1" applyBorder="1" applyAlignment="1">
      <alignment horizontal="center"/>
    </xf>
    <xf numFmtId="0" fontId="37" fillId="11" borderId="25" xfId="5" applyFont="1" applyFill="1" applyBorder="1"/>
    <xf numFmtId="9" fontId="37" fillId="11" borderId="25" xfId="3" applyFont="1" applyFill="1" applyBorder="1" applyAlignment="1">
      <alignment horizontal="center"/>
    </xf>
    <xf numFmtId="0" fontId="37" fillId="11" borderId="25" xfId="5" applyFont="1" applyFill="1" applyBorder="1" applyAlignment="1">
      <alignment horizontal="center"/>
    </xf>
    <xf numFmtId="0" fontId="11" fillId="11" borderId="0" xfId="10" applyFont="1" applyFill="1"/>
    <xf numFmtId="0" fontId="2" fillId="11" borderId="0" xfId="10" applyFill="1"/>
    <xf numFmtId="3" fontId="2" fillId="11" borderId="0" xfId="10" applyNumberFormat="1" applyFill="1"/>
    <xf numFmtId="0" fontId="11" fillId="11" borderId="25" xfId="10" applyFont="1" applyFill="1" applyBorder="1"/>
    <xf numFmtId="0" fontId="2" fillId="11" borderId="25" xfId="10" applyFill="1" applyBorder="1"/>
    <xf numFmtId="0" fontId="11" fillId="11" borderId="25" xfId="10" applyFont="1" applyFill="1" applyBorder="1" applyAlignment="1">
      <alignment horizontal="center"/>
    </xf>
    <xf numFmtId="0" fontId="2" fillId="11" borderId="25" xfId="10" applyFill="1" applyBorder="1" applyAlignment="1">
      <alignment horizontal="center"/>
    </xf>
    <xf numFmtId="3" fontId="2" fillId="11" borderId="25" xfId="10" applyNumberFormat="1" applyFill="1" applyBorder="1" applyAlignment="1">
      <alignment horizontal="center"/>
    </xf>
    <xf numFmtId="4" fontId="2" fillId="11" borderId="25" xfId="10" applyNumberFormat="1" applyFill="1" applyBorder="1" applyAlignment="1">
      <alignment horizontal="center"/>
    </xf>
    <xf numFmtId="3" fontId="11" fillId="11" borderId="25" xfId="10" applyNumberFormat="1" applyFont="1" applyFill="1" applyBorder="1" applyAlignment="1">
      <alignment horizontal="center"/>
    </xf>
    <xf numFmtId="0" fontId="11" fillId="11" borderId="25" xfId="10" applyNumberFormat="1" applyFont="1" applyFill="1" applyBorder="1" applyAlignment="1">
      <alignment horizontal="center"/>
    </xf>
    <xf numFmtId="0" fontId="1" fillId="11" borderId="25" xfId="10" applyFont="1" applyFill="1" applyBorder="1" applyAlignment="1">
      <alignment horizontal="center"/>
    </xf>
    <xf numFmtId="3" fontId="1" fillId="11" borderId="25" xfId="10" applyNumberFormat="1" applyFont="1" applyFill="1" applyBorder="1" applyAlignment="1">
      <alignment horizontal="center"/>
    </xf>
    <xf numFmtId="164" fontId="3" fillId="11" borderId="0" xfId="5" applyNumberFormat="1" applyFill="1"/>
    <xf numFmtId="0" fontId="3" fillId="11" borderId="28" xfId="5" applyFill="1" applyBorder="1"/>
    <xf numFmtId="0" fontId="3" fillId="11" borderId="29" xfId="5" applyFill="1" applyBorder="1"/>
    <xf numFmtId="9" fontId="3" fillId="11" borderId="18" xfId="3" applyFont="1" applyFill="1" applyBorder="1"/>
    <xf numFmtId="0" fontId="3" fillId="11" borderId="0" xfId="5" applyFill="1" applyBorder="1"/>
    <xf numFmtId="164" fontId="3" fillId="11" borderId="0" xfId="5" applyNumberFormat="1" applyFill="1" applyBorder="1"/>
    <xf numFmtId="9" fontId="3" fillId="11" borderId="0" xfId="5" applyNumberFormat="1" applyFill="1" applyBorder="1"/>
    <xf numFmtId="9" fontId="3" fillId="11" borderId="29" xfId="5" applyNumberFormat="1" applyFill="1" applyBorder="1"/>
    <xf numFmtId="0" fontId="4" fillId="11" borderId="0" xfId="5" applyFont="1" applyFill="1" applyBorder="1"/>
    <xf numFmtId="3" fontId="3" fillId="11" borderId="0" xfId="5" applyNumberFormat="1" applyFill="1" applyAlignment="1">
      <alignment horizontal="center"/>
    </xf>
    <xf numFmtId="10" fontId="0" fillId="11" borderId="0" xfId="6" applyNumberFormat="1" applyFont="1" applyFill="1" applyAlignment="1">
      <alignment horizontal="center"/>
    </xf>
    <xf numFmtId="166" fontId="3" fillId="11" borderId="0" xfId="5" applyNumberFormat="1" applyFill="1" applyAlignment="1">
      <alignment horizontal="center"/>
    </xf>
    <xf numFmtId="167" fontId="3" fillId="11" borderId="0" xfId="5" applyNumberFormat="1" applyFill="1" applyAlignment="1">
      <alignment horizontal="center"/>
    </xf>
    <xf numFmtId="166" fontId="3" fillId="11" borderId="1" xfId="5" applyNumberFormat="1" applyFill="1" applyBorder="1" applyAlignment="1">
      <alignment horizontal="center"/>
    </xf>
    <xf numFmtId="164" fontId="3" fillId="11" borderId="29" xfId="5" applyNumberFormat="1" applyFill="1" applyBorder="1"/>
    <xf numFmtId="0" fontId="4" fillId="11" borderId="1" xfId="5" applyFont="1" applyFill="1" applyBorder="1"/>
    <xf numFmtId="3" fontId="3" fillId="11" borderId="1" xfId="5" applyNumberFormat="1" applyFill="1" applyBorder="1" applyAlignment="1">
      <alignment horizontal="center"/>
    </xf>
    <xf numFmtId="10" fontId="0" fillId="11" borderId="1" xfId="6" applyNumberFormat="1" applyFont="1" applyFill="1" applyBorder="1" applyAlignment="1">
      <alignment horizontal="center"/>
    </xf>
    <xf numFmtId="0" fontId="3" fillId="11" borderId="1" xfId="5" applyFill="1" applyBorder="1" applyAlignment="1">
      <alignment horizontal="center"/>
    </xf>
    <xf numFmtId="0" fontId="13" fillId="11" borderId="0" xfId="5" applyFont="1" applyFill="1"/>
    <xf numFmtId="44" fontId="3" fillId="11" borderId="0" xfId="8" applyFont="1" applyFill="1" applyAlignment="1">
      <alignment horizontal="center"/>
    </xf>
    <xf numFmtId="1" fontId="3" fillId="11" borderId="0" xfId="5" applyNumberFormat="1" applyFill="1" applyAlignment="1">
      <alignment horizontal="center"/>
    </xf>
    <xf numFmtId="3" fontId="3" fillId="11" borderId="0" xfId="5" applyNumberFormat="1" applyFill="1"/>
    <xf numFmtId="1" fontId="3" fillId="11" borderId="0" xfId="5" applyNumberFormat="1" applyFill="1"/>
    <xf numFmtId="9" fontId="0" fillId="11" borderId="0" xfId="6" applyFont="1" applyFill="1" applyAlignment="1">
      <alignment horizontal="center"/>
    </xf>
    <xf numFmtId="9" fontId="0" fillId="11" borderId="1" xfId="6" applyFont="1" applyFill="1" applyBorder="1" applyAlignment="1">
      <alignment horizontal="center"/>
    </xf>
    <xf numFmtId="43" fontId="3" fillId="11" borderId="0" xfId="5" applyNumberFormat="1" applyFill="1"/>
    <xf numFmtId="0" fontId="3" fillId="11" borderId="10" xfId="5" applyFill="1" applyBorder="1" applyAlignment="1">
      <alignment horizontal="center"/>
    </xf>
    <xf numFmtId="0" fontId="0" fillId="11" borderId="10" xfId="0" applyFill="1" applyBorder="1"/>
    <xf numFmtId="166" fontId="3" fillId="11" borderId="0" xfId="5" applyNumberFormat="1" applyFill="1" applyBorder="1" applyAlignment="1">
      <alignment horizontal="center"/>
    </xf>
    <xf numFmtId="44" fontId="6" fillId="11" borderId="50" xfId="1" applyNumberFormat="1" applyFont="1" applyFill="1" applyBorder="1"/>
    <xf numFmtId="166" fontId="0" fillId="11" borderId="0" xfId="0" applyNumberFormat="1" applyFill="1"/>
    <xf numFmtId="164" fontId="3" fillId="11" borderId="0" xfId="2" applyNumberFormat="1" applyFont="1" applyFill="1" applyAlignment="1">
      <alignment horizontal="center"/>
    </xf>
    <xf numFmtId="0" fontId="11" fillId="11" borderId="17" xfId="5" applyFont="1" applyFill="1" applyBorder="1"/>
    <xf numFmtId="0" fontId="3" fillId="11" borderId="10" xfId="5" applyFill="1" applyBorder="1"/>
    <xf numFmtId="0" fontId="3" fillId="11" borderId="26" xfId="5" applyFill="1" applyBorder="1"/>
    <xf numFmtId="43" fontId="3" fillId="11" borderId="0" xfId="5" applyNumberFormat="1" applyFill="1" applyBorder="1"/>
    <xf numFmtId="0" fontId="3" fillId="11" borderId="30" xfId="5" applyFill="1" applyBorder="1"/>
    <xf numFmtId="0" fontId="3" fillId="11" borderId="1" xfId="5" applyFill="1" applyBorder="1"/>
    <xf numFmtId="164" fontId="3" fillId="11" borderId="1" xfId="5" applyNumberFormat="1" applyFill="1" applyBorder="1"/>
    <xf numFmtId="0" fontId="11" fillId="11" borderId="8" xfId="5" applyFont="1" applyFill="1" applyBorder="1" applyAlignment="1">
      <alignment horizontal="center" vertical="center"/>
    </xf>
    <xf numFmtId="0" fontId="3" fillId="11" borderId="6" xfId="5" applyFill="1" applyBorder="1"/>
    <xf numFmtId="164" fontId="3" fillId="11" borderId="6" xfId="5" applyNumberFormat="1" applyFill="1" applyBorder="1"/>
    <xf numFmtId="9" fontId="3" fillId="11" borderId="6" xfId="5" applyNumberFormat="1" applyFill="1" applyBorder="1"/>
    <xf numFmtId="9" fontId="3" fillId="11" borderId="9" xfId="5" applyNumberFormat="1" applyFill="1" applyBorder="1"/>
    <xf numFmtId="0" fontId="6" fillId="13" borderId="0" xfId="1" applyFont="1" applyFill="1"/>
    <xf numFmtId="0" fontId="9" fillId="11" borderId="10" xfId="1" applyFont="1" applyFill="1" applyBorder="1"/>
    <xf numFmtId="0" fontId="9" fillId="11" borderId="10" xfId="1" applyFont="1" applyFill="1" applyBorder="1" applyAlignment="1">
      <alignment horizontal="left"/>
    </xf>
    <xf numFmtId="0" fontId="42" fillId="11" borderId="11" xfId="1" applyFont="1" applyFill="1" applyBorder="1"/>
    <xf numFmtId="0" fontId="43" fillId="11" borderId="4" xfId="1" applyFont="1" applyFill="1" applyBorder="1"/>
    <xf numFmtId="0" fontId="9" fillId="11" borderId="4" xfId="1" applyFont="1" applyFill="1" applyBorder="1"/>
    <xf numFmtId="0" fontId="9" fillId="11" borderId="1" xfId="1" applyFont="1" applyFill="1" applyBorder="1" applyAlignment="1">
      <alignment horizontal="center"/>
    </xf>
    <xf numFmtId="0" fontId="42" fillId="11" borderId="1" xfId="1" applyFont="1" applyFill="1" applyBorder="1" applyAlignment="1">
      <alignment horizontal="center"/>
    </xf>
    <xf numFmtId="0" fontId="42" fillId="11" borderId="12" xfId="1" applyFont="1" applyFill="1" applyBorder="1" applyAlignment="1">
      <alignment horizontal="center"/>
    </xf>
    <xf numFmtId="0" fontId="42" fillId="11" borderId="2" xfId="1" applyFont="1" applyFill="1" applyBorder="1"/>
    <xf numFmtId="0" fontId="42" fillId="11" borderId="2" xfId="1" applyFont="1" applyFill="1" applyBorder="1" applyAlignment="1">
      <alignment horizontal="center"/>
    </xf>
    <xf numFmtId="0" fontId="9" fillId="11" borderId="13" xfId="1" applyFont="1" applyFill="1" applyBorder="1"/>
    <xf numFmtId="0" fontId="9" fillId="11" borderId="2" xfId="1" applyFont="1" applyFill="1" applyBorder="1"/>
    <xf numFmtId="0" fontId="9" fillId="11" borderId="23" xfId="1" applyFont="1" applyFill="1" applyBorder="1" applyAlignment="1">
      <alignment horizontal="right" vertical="center"/>
    </xf>
    <xf numFmtId="38" fontId="9" fillId="11" borderId="3" xfId="1" applyNumberFormat="1" applyFont="1" applyFill="1" applyBorder="1" applyAlignment="1">
      <alignment horizontal="center"/>
    </xf>
    <xf numFmtId="0" fontId="9" fillId="11" borderId="22" xfId="1" applyFont="1" applyFill="1" applyBorder="1" applyAlignment="1">
      <alignment horizontal="right" vertical="center"/>
    </xf>
    <xf numFmtId="0" fontId="9" fillId="11" borderId="3" xfId="1" applyFont="1" applyFill="1" applyBorder="1" applyAlignment="1">
      <alignment horizontal="center"/>
    </xf>
    <xf numFmtId="0" fontId="9" fillId="11" borderId="14" xfId="1" applyFont="1" applyFill="1" applyBorder="1"/>
    <xf numFmtId="0" fontId="9" fillId="11" borderId="3" xfId="1" applyFont="1" applyFill="1" applyBorder="1"/>
    <xf numFmtId="38" fontId="9" fillId="11" borderId="1" xfId="1" applyNumberFormat="1" applyFont="1" applyFill="1" applyBorder="1" applyAlignment="1">
      <alignment horizontal="center"/>
    </xf>
    <xf numFmtId="0" fontId="9" fillId="11" borderId="12" xfId="1" applyFont="1" applyFill="1" applyBorder="1"/>
    <xf numFmtId="0" fontId="9" fillId="11" borderId="1" xfId="1" applyFont="1" applyFill="1" applyBorder="1"/>
    <xf numFmtId="0" fontId="42" fillId="11" borderId="0" xfId="1" applyFont="1" applyFill="1" applyBorder="1" applyAlignment="1">
      <alignment horizontal="left"/>
    </xf>
    <xf numFmtId="38" fontId="9" fillId="11" borderId="0" xfId="1" applyNumberFormat="1" applyFont="1" applyFill="1" applyBorder="1" applyAlignment="1">
      <alignment horizontal="center"/>
    </xf>
    <xf numFmtId="0" fontId="9" fillId="11" borderId="7" xfId="1" applyFont="1" applyFill="1" applyBorder="1" applyAlignment="1">
      <alignment horizontal="right"/>
    </xf>
    <xf numFmtId="0" fontId="42" fillId="11" borderId="4" xfId="1" applyFont="1" applyFill="1" applyBorder="1"/>
    <xf numFmtId="0" fontId="42" fillId="11" borderId="4" xfId="1" applyFont="1" applyFill="1" applyBorder="1" applyAlignment="1">
      <alignment horizontal="center"/>
    </xf>
    <xf numFmtId="0" fontId="9" fillId="11" borderId="11" xfId="1" applyFont="1" applyFill="1" applyBorder="1"/>
    <xf numFmtId="165" fontId="9" fillId="11" borderId="3" xfId="3" applyNumberFormat="1" applyFont="1" applyFill="1" applyBorder="1" applyAlignment="1">
      <alignment horizontal="right"/>
    </xf>
    <xf numFmtId="9" fontId="9" fillId="11" borderId="3" xfId="1" applyNumberFormat="1" applyFont="1" applyFill="1" applyBorder="1" applyAlignment="1">
      <alignment horizontal="center"/>
    </xf>
    <xf numFmtId="0" fontId="42" fillId="11" borderId="1" xfId="1" applyFont="1" applyFill="1" applyBorder="1" applyAlignment="1">
      <alignment horizontal="left"/>
    </xf>
    <xf numFmtId="0" fontId="42" fillId="11" borderId="1" xfId="1" applyFont="1" applyFill="1" applyBorder="1" applyAlignment="1">
      <alignment horizontal="right"/>
    </xf>
    <xf numFmtId="0" fontId="42" fillId="11" borderId="6" xfId="1" applyFont="1" applyFill="1" applyBorder="1"/>
    <xf numFmtId="42" fontId="9" fillId="11" borderId="1" xfId="1" applyNumberFormat="1" applyFont="1" applyFill="1" applyBorder="1" applyAlignment="1">
      <alignment horizontal="center"/>
    </xf>
    <xf numFmtId="0" fontId="42" fillId="11" borderId="1" xfId="1" applyFont="1" applyFill="1" applyBorder="1"/>
    <xf numFmtId="9" fontId="9" fillId="11" borderId="1" xfId="1" applyNumberFormat="1" applyFont="1" applyFill="1" applyBorder="1" applyAlignment="1">
      <alignment horizontal="center"/>
    </xf>
    <xf numFmtId="0" fontId="9" fillId="11" borderId="10" xfId="1" applyFont="1" applyFill="1" applyBorder="1" applyAlignment="1"/>
    <xf numFmtId="10" fontId="9" fillId="11" borderId="1" xfId="1" applyNumberFormat="1" applyFont="1" applyFill="1" applyBorder="1" applyAlignment="1">
      <alignment horizontal="center"/>
    </xf>
    <xf numFmtId="0" fontId="9" fillId="11" borderId="6" xfId="1" applyFont="1" applyFill="1" applyBorder="1" applyAlignment="1"/>
    <xf numFmtId="0" fontId="9" fillId="11" borderId="0" xfId="1" applyFont="1" applyFill="1"/>
    <xf numFmtId="0" fontId="9" fillId="11" borderId="0" xfId="1" applyFont="1" applyFill="1" applyAlignment="1">
      <alignment horizontal="center"/>
    </xf>
    <xf numFmtId="0" fontId="42" fillId="11" borderId="0" xfId="1" applyFont="1" applyFill="1" applyBorder="1" applyAlignment="1">
      <alignment horizontal="left" vertical="center"/>
    </xf>
    <xf numFmtId="0" fontId="9" fillId="11" borderId="2" xfId="1" applyFont="1" applyFill="1" applyBorder="1" applyAlignment="1">
      <alignment horizontal="center"/>
    </xf>
    <xf numFmtId="0" fontId="9" fillId="11" borderId="13" xfId="1" applyFont="1" applyFill="1" applyBorder="1" applyAlignment="1">
      <alignment horizontal="center"/>
    </xf>
    <xf numFmtId="0" fontId="9" fillId="11" borderId="14" xfId="1" applyFont="1" applyFill="1" applyBorder="1" applyAlignment="1">
      <alignment horizontal="center"/>
    </xf>
    <xf numFmtId="3" fontId="9" fillId="11" borderId="14" xfId="1" applyNumberFormat="1" applyFont="1" applyFill="1" applyBorder="1" applyAlignment="1">
      <alignment horizontal="center"/>
    </xf>
    <xf numFmtId="3" fontId="9" fillId="11" borderId="19" xfId="1" applyNumberFormat="1" applyFont="1" applyFill="1" applyBorder="1" applyAlignment="1">
      <alignment horizontal="center"/>
    </xf>
    <xf numFmtId="0" fontId="9" fillId="11" borderId="5" xfId="1" applyFont="1" applyFill="1" applyBorder="1" applyAlignment="1">
      <alignment horizontal="center"/>
    </xf>
    <xf numFmtId="0" fontId="9" fillId="11" borderId="20" xfId="1" applyFont="1" applyFill="1" applyBorder="1" applyAlignment="1">
      <alignment horizontal="center"/>
    </xf>
    <xf numFmtId="0" fontId="9" fillId="11" borderId="14" xfId="1" applyNumberFormat="1" applyFont="1" applyFill="1" applyBorder="1" applyAlignment="1">
      <alignment horizontal="center"/>
    </xf>
    <xf numFmtId="0" fontId="9" fillId="11" borderId="3" xfId="1" applyNumberFormat="1" applyFont="1" applyFill="1" applyBorder="1" applyAlignment="1">
      <alignment horizontal="center"/>
    </xf>
    <xf numFmtId="0" fontId="9" fillId="11" borderId="21" xfId="1" applyFont="1" applyFill="1" applyBorder="1" applyAlignment="1">
      <alignment horizontal="center"/>
    </xf>
    <xf numFmtId="3" fontId="42" fillId="11" borderId="20" xfId="1" applyNumberFormat="1" applyFont="1" applyFill="1" applyBorder="1" applyAlignment="1">
      <alignment horizontal="center"/>
    </xf>
    <xf numFmtId="0" fontId="9" fillId="0" borderId="0" xfId="1" applyFont="1" applyBorder="1" applyAlignment="1">
      <alignment vertical="center"/>
    </xf>
    <xf numFmtId="0" fontId="9" fillId="11" borderId="0" xfId="1" applyFont="1" applyFill="1" applyAlignment="1">
      <alignment wrapText="1"/>
    </xf>
    <xf numFmtId="0" fontId="40" fillId="11" borderId="1" xfId="1" applyFont="1" applyFill="1" applyBorder="1" applyAlignment="1">
      <alignment horizontal="center" wrapText="1"/>
    </xf>
    <xf numFmtId="0" fontId="9" fillId="11" borderId="2" xfId="1" applyFont="1" applyFill="1" applyBorder="1" applyAlignment="1">
      <alignment horizontal="right"/>
    </xf>
    <xf numFmtId="164" fontId="9" fillId="11" borderId="7" xfId="2" applyNumberFormat="1" applyFont="1" applyFill="1" applyBorder="1" applyAlignment="1">
      <alignment horizontal="right"/>
    </xf>
    <xf numFmtId="0" fontId="9" fillId="11" borderId="7" xfId="1" applyFont="1" applyFill="1" applyBorder="1" applyAlignment="1">
      <alignment horizontal="left"/>
    </xf>
    <xf numFmtId="0" fontId="40" fillId="11" borderId="4" xfId="1" applyFont="1" applyFill="1" applyBorder="1" applyAlignment="1">
      <alignment horizontal="right"/>
    </xf>
    <xf numFmtId="0" fontId="40" fillId="11" borderId="3" xfId="1" applyFont="1" applyFill="1" applyBorder="1" applyAlignment="1">
      <alignment horizontal="right"/>
    </xf>
    <xf numFmtId="0" fontId="40" fillId="11" borderId="3" xfId="1" applyFont="1" applyFill="1" applyBorder="1" applyAlignment="1">
      <alignment horizontal="center"/>
    </xf>
    <xf numFmtId="0" fontId="9" fillId="11" borderId="3" xfId="1" applyFont="1" applyFill="1" applyBorder="1" applyAlignment="1">
      <alignment horizontal="right" vertical="center"/>
    </xf>
    <xf numFmtId="0" fontId="40" fillId="11" borderId="3" xfId="1" applyFont="1" applyFill="1" applyBorder="1" applyAlignment="1"/>
    <xf numFmtId="3" fontId="40" fillId="11" borderId="2" xfId="1" applyNumberFormat="1" applyFont="1" applyFill="1" applyBorder="1" applyAlignment="1">
      <alignment horizontal="right"/>
    </xf>
    <xf numFmtId="0" fontId="40" fillId="11" borderId="2" xfId="1" applyFont="1" applyFill="1" applyBorder="1" applyAlignment="1">
      <alignment horizontal="right"/>
    </xf>
    <xf numFmtId="0" fontId="40" fillId="11" borderId="5" xfId="1" applyFont="1" applyFill="1" applyBorder="1" applyAlignment="1">
      <alignment horizontal="right"/>
    </xf>
    <xf numFmtId="0" fontId="40" fillId="11" borderId="7" xfId="1" applyFont="1" applyFill="1" applyBorder="1" applyAlignment="1">
      <alignment horizontal="right"/>
    </xf>
    <xf numFmtId="0" fontId="9" fillId="11" borderId="3" xfId="1" applyFont="1" applyFill="1" applyBorder="1" applyAlignment="1"/>
    <xf numFmtId="0" fontId="9" fillId="11" borderId="3" xfId="1" applyFont="1" applyFill="1" applyBorder="1" applyAlignment="1">
      <alignment horizontal="left"/>
    </xf>
    <xf numFmtId="0" fontId="40" fillId="11" borderId="3" xfId="1" applyFont="1" applyFill="1" applyBorder="1" applyAlignment="1">
      <alignment horizontal="left"/>
    </xf>
    <xf numFmtId="42" fontId="40" fillId="11" borderId="3" xfId="1" applyNumberFormat="1" applyFont="1" applyFill="1" applyBorder="1" applyAlignment="1">
      <alignment horizontal="right"/>
    </xf>
    <xf numFmtId="0" fontId="42" fillId="11" borderId="7" xfId="1" applyFont="1" applyFill="1" applyBorder="1"/>
    <xf numFmtId="0" fontId="42" fillId="11" borderId="7" xfId="1" applyFont="1" applyFill="1" applyBorder="1" applyAlignment="1">
      <alignment horizontal="right"/>
    </xf>
    <xf numFmtId="0" fontId="9" fillId="11" borderId="0" xfId="1" applyFont="1" applyFill="1" applyBorder="1" applyAlignment="1"/>
    <xf numFmtId="0" fontId="9" fillId="11" borderId="0" xfId="1" applyFont="1" applyFill="1" applyBorder="1" applyAlignment="1">
      <alignment horizontal="right"/>
    </xf>
    <xf numFmtId="0" fontId="40" fillId="11" borderId="0" xfId="1" applyFont="1" applyFill="1" applyBorder="1" applyAlignment="1"/>
    <xf numFmtId="0" fontId="40" fillId="11" borderId="0" xfId="1" applyFont="1" applyFill="1" applyBorder="1" applyAlignment="1">
      <alignment horizontal="right"/>
    </xf>
    <xf numFmtId="0" fontId="9" fillId="11" borderId="0" xfId="1" applyFont="1" applyFill="1" applyBorder="1"/>
    <xf numFmtId="0" fontId="40" fillId="11" borderId="6" xfId="1" applyFont="1" applyFill="1" applyBorder="1" applyAlignment="1">
      <alignment horizontal="right"/>
    </xf>
    <xf numFmtId="0" fontId="9" fillId="0" borderId="0" xfId="1" applyFont="1"/>
    <xf numFmtId="0" fontId="9" fillId="0" borderId="0" xfId="1" applyFont="1" applyFill="1" applyAlignment="1">
      <alignment horizontal="center"/>
    </xf>
    <xf numFmtId="0" fontId="9" fillId="0" borderId="0" xfId="1" applyFont="1" applyFill="1"/>
    <xf numFmtId="0" fontId="9" fillId="11" borderId="3" xfId="1" applyFont="1" applyFill="1" applyBorder="1" applyAlignment="1">
      <alignment horizontal="right"/>
    </xf>
    <xf numFmtId="38" fontId="9" fillId="11" borderId="3" xfId="1" applyNumberFormat="1" applyFont="1" applyFill="1" applyBorder="1" applyAlignment="1">
      <alignment horizontal="center"/>
    </xf>
    <xf numFmtId="0" fontId="40" fillId="11" borderId="3" xfId="1" applyFont="1" applyFill="1" applyBorder="1" applyAlignment="1">
      <alignment horizontal="center"/>
    </xf>
    <xf numFmtId="0" fontId="9" fillId="11" borderId="3" xfId="1" applyFont="1" applyFill="1" applyBorder="1" applyAlignment="1">
      <alignment horizontal="left"/>
    </xf>
    <xf numFmtId="0" fontId="40" fillId="11" borderId="3" xfId="1" applyFont="1" applyFill="1" applyBorder="1" applyAlignment="1">
      <alignment horizontal="left"/>
    </xf>
    <xf numFmtId="0" fontId="40" fillId="11" borderId="3" xfId="1" applyFont="1" applyFill="1" applyBorder="1" applyAlignment="1">
      <alignment horizontal="right"/>
    </xf>
    <xf numFmtId="0" fontId="9" fillId="11" borderId="3" xfId="1" applyFont="1" applyFill="1" applyBorder="1" applyAlignment="1">
      <alignment horizontal="center"/>
    </xf>
    <xf numFmtId="42" fontId="40" fillId="11" borderId="3" xfId="1" applyNumberFormat="1" applyFont="1" applyFill="1" applyBorder="1" applyAlignment="1">
      <alignment horizontal="right"/>
    </xf>
    <xf numFmtId="0" fontId="9" fillId="11" borderId="1" xfId="1" applyFont="1" applyFill="1" applyBorder="1" applyAlignment="1">
      <alignment horizontal="right" vertical="center"/>
    </xf>
    <xf numFmtId="0" fontId="40" fillId="11" borderId="1" xfId="1" applyFont="1" applyFill="1" applyBorder="1" applyAlignment="1"/>
    <xf numFmtId="0" fontId="40" fillId="11" borderId="1" xfId="1" applyFont="1" applyFill="1" applyBorder="1" applyAlignment="1">
      <alignment horizontal="right"/>
    </xf>
    <xf numFmtId="0" fontId="42" fillId="11" borderId="4" xfId="1" applyFont="1" applyFill="1" applyBorder="1" applyAlignment="1"/>
    <xf numFmtId="0" fontId="40" fillId="11" borderId="4" xfId="1" applyFont="1" applyFill="1" applyBorder="1" applyAlignment="1"/>
    <xf numFmtId="0" fontId="40" fillId="11" borderId="4" xfId="1" applyFont="1" applyFill="1" applyBorder="1" applyAlignment="1">
      <alignment horizontal="right"/>
    </xf>
    <xf numFmtId="0" fontId="9" fillId="11" borderId="1" xfId="1" applyFont="1" applyFill="1" applyBorder="1" applyAlignment="1">
      <alignment horizontal="right"/>
    </xf>
    <xf numFmtId="38" fontId="42" fillId="11" borderId="5" xfId="1" applyNumberFormat="1" applyFont="1" applyFill="1" applyBorder="1" applyAlignment="1">
      <alignment horizontal="center"/>
    </xf>
    <xf numFmtId="0" fontId="44" fillId="11" borderId="5" xfId="1" applyFont="1" applyFill="1" applyBorder="1" applyAlignment="1">
      <alignment horizontal="center"/>
    </xf>
    <xf numFmtId="0" fontId="9" fillId="11" borderId="2" xfId="1" applyFont="1" applyFill="1" applyBorder="1" applyAlignment="1"/>
    <xf numFmtId="0" fontId="40" fillId="11" borderId="7" xfId="1" applyFont="1" applyFill="1" applyBorder="1" applyAlignment="1">
      <alignment horizontal="right"/>
    </xf>
    <xf numFmtId="0" fontId="42" fillId="11" borderId="1" xfId="1" applyFont="1" applyFill="1" applyBorder="1" applyAlignment="1">
      <alignment horizontal="center" wrapText="1"/>
    </xf>
    <xf numFmtId="0" fontId="40" fillId="11" borderId="1" xfId="1" applyFont="1" applyFill="1" applyBorder="1" applyAlignment="1">
      <alignment horizontal="center" wrapText="1"/>
    </xf>
    <xf numFmtId="0" fontId="9" fillId="11" borderId="3" xfId="1" applyFont="1" applyFill="1" applyBorder="1" applyAlignment="1"/>
    <xf numFmtId="0" fontId="42" fillId="11" borderId="6" xfId="1" applyFont="1" applyFill="1" applyBorder="1" applyAlignment="1">
      <alignment horizontal="center"/>
    </xf>
    <xf numFmtId="0" fontId="40" fillId="11" borderId="3" xfId="1" applyFont="1" applyFill="1" applyBorder="1" applyAlignment="1"/>
    <xf numFmtId="0" fontId="42" fillId="11" borderId="4" xfId="1" applyFont="1" applyFill="1" applyBorder="1" applyAlignment="1">
      <alignment horizontal="left"/>
    </xf>
    <xf numFmtId="0" fontId="40" fillId="11" borderId="4" xfId="1" applyFont="1" applyFill="1" applyBorder="1" applyAlignment="1">
      <alignment horizontal="left"/>
    </xf>
    <xf numFmtId="0" fontId="45" fillId="11" borderId="6" xfId="1" applyFont="1" applyFill="1" applyBorder="1" applyAlignment="1">
      <alignment horizontal="center"/>
    </xf>
    <xf numFmtId="0" fontId="40" fillId="11" borderId="6" xfId="1" applyFont="1" applyFill="1" applyBorder="1" applyAlignment="1">
      <alignment horizontal="center"/>
    </xf>
    <xf numFmtId="0" fontId="42" fillId="11" borderId="6" xfId="1" applyFont="1" applyFill="1" applyBorder="1" applyAlignment="1">
      <alignment horizontal="left"/>
    </xf>
    <xf numFmtId="0" fontId="40" fillId="11" borderId="6" xfId="1" applyFont="1" applyFill="1" applyBorder="1" applyAlignment="1"/>
    <xf numFmtId="42" fontId="44" fillId="11" borderId="2" xfId="1" applyNumberFormat="1" applyFont="1" applyFill="1" applyBorder="1" applyAlignment="1">
      <alignment horizontal="right"/>
    </xf>
    <xf numFmtId="0" fontId="44" fillId="11" borderId="2" xfId="1" applyFont="1" applyFill="1" applyBorder="1" applyAlignment="1">
      <alignment horizontal="right"/>
    </xf>
    <xf numFmtId="0" fontId="9" fillId="11" borderId="0" xfId="1" applyFont="1" applyFill="1" applyBorder="1" applyAlignment="1"/>
    <xf numFmtId="0" fontId="9" fillId="11" borderId="42" xfId="1" applyFont="1" applyFill="1" applyBorder="1" applyAlignment="1">
      <alignment horizontal="right"/>
    </xf>
    <xf numFmtId="0" fontId="40" fillId="11" borderId="42" xfId="1" applyFont="1" applyFill="1" applyBorder="1" applyAlignment="1"/>
    <xf numFmtId="0" fontId="9" fillId="11" borderId="23" xfId="1" applyFont="1" applyFill="1" applyBorder="1" applyAlignment="1">
      <alignment horizontal="right" vertical="center"/>
    </xf>
    <xf numFmtId="0" fontId="9" fillId="11" borderId="24" xfId="1" applyFont="1" applyFill="1" applyBorder="1" applyAlignment="1">
      <alignment horizontal="right" vertical="center"/>
    </xf>
    <xf numFmtId="0" fontId="9" fillId="11" borderId="3" xfId="1" applyFont="1" applyFill="1" applyBorder="1" applyAlignment="1">
      <alignment horizontal="right" vertical="center"/>
    </xf>
    <xf numFmtId="0" fontId="9" fillId="11" borderId="22" xfId="1" applyFont="1" applyFill="1" applyBorder="1" applyAlignment="1">
      <alignment horizontal="right" vertical="center"/>
    </xf>
    <xf numFmtId="38" fontId="9" fillId="11" borderId="4" xfId="1" applyNumberFormat="1" applyFont="1" applyFill="1" applyBorder="1" applyAlignment="1">
      <alignment horizontal="center"/>
    </xf>
    <xf numFmtId="0" fontId="40" fillId="11" borderId="4" xfId="1" applyFont="1" applyFill="1" applyBorder="1" applyAlignment="1">
      <alignment horizontal="center"/>
    </xf>
    <xf numFmtId="0" fontId="42" fillId="11" borderId="4" xfId="1" applyFont="1" applyFill="1" applyBorder="1" applyAlignment="1">
      <alignment vertical="center"/>
    </xf>
    <xf numFmtId="0" fontId="9" fillId="11" borderId="3" xfId="1" applyFont="1" applyFill="1" applyBorder="1" applyAlignment="1">
      <alignment horizontal="left" vertical="center"/>
    </xf>
    <xf numFmtId="0" fontId="42" fillId="11" borderId="2" xfId="1" applyFont="1" applyFill="1" applyBorder="1" applyAlignment="1">
      <alignment horizontal="left" wrapText="1"/>
    </xf>
    <xf numFmtId="0" fontId="43" fillId="11" borderId="1" xfId="1" applyFont="1" applyFill="1" applyBorder="1" applyAlignment="1">
      <alignment horizontal="center" wrapText="1"/>
    </xf>
    <xf numFmtId="0" fontId="40" fillId="11" borderId="1" xfId="1" applyFont="1" applyFill="1" applyBorder="1" applyAlignment="1">
      <alignment wrapText="1"/>
    </xf>
    <xf numFmtId="0" fontId="9" fillId="11" borderId="5" xfId="1" applyFont="1" applyFill="1" applyBorder="1" applyAlignment="1">
      <alignment horizontal="right"/>
    </xf>
    <xf numFmtId="0" fontId="42" fillId="11" borderId="6" xfId="1" applyFont="1" applyFill="1" applyBorder="1" applyAlignment="1">
      <alignment horizontal="right"/>
    </xf>
    <xf numFmtId="0" fontId="42" fillId="11" borderId="5" xfId="1" applyFont="1" applyFill="1" applyBorder="1" applyAlignment="1">
      <alignment horizontal="left"/>
    </xf>
    <xf numFmtId="0" fontId="6" fillId="11" borderId="23" xfId="0" applyFont="1" applyFill="1" applyBorder="1" applyAlignment="1">
      <alignment horizontal="right" vertical="center"/>
    </xf>
    <xf numFmtId="0" fontId="6" fillId="11" borderId="24" xfId="0" applyFont="1" applyFill="1" applyBorder="1" applyAlignment="1">
      <alignment horizontal="right" vertical="center"/>
    </xf>
    <xf numFmtId="0" fontId="6" fillId="11" borderId="3" xfId="0" applyFont="1" applyFill="1" applyBorder="1" applyAlignment="1">
      <alignment horizontal="right"/>
    </xf>
    <xf numFmtId="0" fontId="7" fillId="11" borderId="3" xfId="0" applyFont="1" applyFill="1" applyBorder="1" applyAlignment="1">
      <alignment horizontal="right"/>
    </xf>
    <xf numFmtId="0" fontId="7" fillId="11" borderId="5" xfId="0" applyFont="1" applyFill="1" applyBorder="1" applyAlignment="1">
      <alignment horizontal="right"/>
    </xf>
    <xf numFmtId="0" fontId="29" fillId="0" borderId="25" xfId="5" applyFont="1" applyBorder="1" applyAlignment="1">
      <alignment horizontal="center"/>
    </xf>
    <xf numFmtId="0" fontId="34" fillId="0" borderId="8" xfId="5" applyFont="1" applyBorder="1" applyAlignment="1">
      <alignment horizontal="center"/>
    </xf>
    <xf numFmtId="0" fontId="34" fillId="0" borderId="9" xfId="5" applyFont="1" applyBorder="1" applyAlignment="1">
      <alignment horizontal="center"/>
    </xf>
    <xf numFmtId="0" fontId="36" fillId="12" borderId="17" xfId="5" applyFont="1" applyFill="1" applyBorder="1" applyAlignment="1">
      <alignment horizontal="center" vertical="center"/>
    </xf>
    <xf numFmtId="0" fontId="36" fillId="12" borderId="30" xfId="5" applyFont="1" applyFill="1" applyBorder="1" applyAlignment="1">
      <alignment horizontal="center" vertical="center"/>
    </xf>
    <xf numFmtId="0" fontId="36" fillId="11" borderId="17" xfId="5" applyFont="1" applyFill="1" applyBorder="1" applyAlignment="1">
      <alignment horizontal="center" vertical="center"/>
    </xf>
    <xf numFmtId="0" fontId="36" fillId="11" borderId="30" xfId="5" applyFont="1" applyFill="1" applyBorder="1" applyAlignment="1">
      <alignment horizontal="center" vertical="center"/>
    </xf>
    <xf numFmtId="0" fontId="36" fillId="9" borderId="17" xfId="5" applyFont="1" applyFill="1" applyBorder="1" applyAlignment="1">
      <alignment horizontal="center" vertical="center"/>
    </xf>
    <xf numFmtId="0" fontId="36" fillId="9" borderId="30" xfId="5" applyFont="1" applyFill="1" applyBorder="1" applyAlignment="1">
      <alignment horizontal="center" vertical="center"/>
    </xf>
    <xf numFmtId="0" fontId="29" fillId="11" borderId="25" xfId="5" applyFont="1" applyFill="1" applyBorder="1" applyAlignment="1">
      <alignment horizontal="center"/>
    </xf>
    <xf numFmtId="0" fontId="36" fillId="7" borderId="31" xfId="5" applyFont="1" applyFill="1" applyBorder="1" applyAlignment="1">
      <alignment horizontal="center" vertical="center"/>
    </xf>
    <xf numFmtId="0" fontId="36" fillId="7" borderId="32" xfId="5" applyFont="1" applyFill="1" applyBorder="1" applyAlignment="1">
      <alignment horizontal="center" vertical="center"/>
    </xf>
    <xf numFmtId="0" fontId="29" fillId="11" borderId="9" xfId="5" applyFont="1" applyFill="1" applyBorder="1" applyAlignment="1">
      <alignment horizontal="center"/>
    </xf>
    <xf numFmtId="0" fontId="3" fillId="0" borderId="0" xfId="5"/>
    <xf numFmtId="0" fontId="11" fillId="6" borderId="26" xfId="5" applyFont="1" applyFill="1" applyBorder="1" applyAlignment="1">
      <alignment horizontal="center" vertical="center"/>
    </xf>
    <xf numFmtId="0" fontId="11" fillId="11" borderId="26" xfId="5" applyFont="1" applyFill="1" applyBorder="1" applyAlignment="1">
      <alignment horizontal="center" vertical="center"/>
    </xf>
    <xf numFmtId="38" fontId="46" fillId="11" borderId="3" xfId="1" applyNumberFormat="1" applyFont="1" applyFill="1" applyBorder="1" applyAlignment="1">
      <alignment horizontal="center"/>
    </xf>
    <xf numFmtId="38" fontId="46" fillId="11" borderId="1" xfId="1" applyNumberFormat="1" applyFont="1" applyFill="1" applyBorder="1" applyAlignment="1">
      <alignment horizontal="center"/>
    </xf>
    <xf numFmtId="0" fontId="38" fillId="14" borderId="0" xfId="1" applyFont="1" applyFill="1" applyAlignment="1">
      <alignment vertical="center"/>
    </xf>
    <xf numFmtId="0" fontId="39" fillId="14" borderId="0" xfId="1" applyFont="1" applyFill="1" applyAlignment="1">
      <alignment vertical="center"/>
    </xf>
    <xf numFmtId="0" fontId="40" fillId="14" borderId="0" xfId="1" applyFont="1" applyFill="1" applyAlignment="1">
      <alignment vertical="center"/>
    </xf>
    <xf numFmtId="0" fontId="41" fillId="14" borderId="9" xfId="1" applyFont="1" applyFill="1" applyBorder="1" applyAlignment="1">
      <alignment horizontal="left" vertical="center"/>
    </xf>
    <xf numFmtId="0" fontId="38" fillId="14" borderId="0" xfId="1" applyFont="1" applyFill="1" applyAlignment="1">
      <alignment vertical="center"/>
    </xf>
    <xf numFmtId="0" fontId="39" fillId="14" borderId="0" xfId="1" applyFont="1" applyFill="1" applyAlignment="1">
      <alignment vertical="center"/>
    </xf>
    <xf numFmtId="0" fontId="40" fillId="14" borderId="0" xfId="1" applyFont="1" applyFill="1" applyAlignment="1">
      <alignment vertical="center"/>
    </xf>
    <xf numFmtId="0" fontId="38" fillId="14" borderId="0" xfId="1" applyFont="1" applyFill="1" applyBorder="1" applyAlignment="1">
      <alignment horizontal="left" vertical="center"/>
    </xf>
    <xf numFmtId="0" fontId="9" fillId="15" borderId="4" xfId="1" applyFont="1" applyFill="1" applyBorder="1"/>
    <xf numFmtId="0" fontId="42" fillId="15" borderId="1" xfId="1" applyFont="1" applyFill="1" applyBorder="1" applyAlignment="1">
      <alignment horizontal="center"/>
    </xf>
    <xf numFmtId="0" fontId="9" fillId="15" borderId="2" xfId="1" applyFont="1" applyFill="1" applyBorder="1"/>
    <xf numFmtId="38" fontId="9" fillId="15" borderId="3" xfId="1" applyNumberFormat="1" applyFont="1" applyFill="1" applyBorder="1" applyAlignment="1">
      <alignment horizontal="center"/>
    </xf>
    <xf numFmtId="0" fontId="9" fillId="15" borderId="3" xfId="1" applyFont="1" applyFill="1" applyBorder="1"/>
    <xf numFmtId="38" fontId="9" fillId="15" borderId="1" xfId="1" applyNumberFormat="1" applyFont="1" applyFill="1" applyBorder="1" applyAlignment="1">
      <alignment horizontal="center"/>
    </xf>
    <xf numFmtId="0" fontId="9" fillId="15" borderId="1" xfId="1" applyFont="1" applyFill="1" applyBorder="1"/>
    <xf numFmtId="38" fontId="9" fillId="15" borderId="0" xfId="1" applyNumberFormat="1" applyFont="1" applyFill="1" applyBorder="1" applyAlignment="1">
      <alignment horizontal="center"/>
    </xf>
    <xf numFmtId="0" fontId="42" fillId="16" borderId="11" xfId="1" applyFont="1" applyFill="1" applyBorder="1"/>
    <xf numFmtId="0" fontId="9" fillId="16" borderId="4" xfId="1" applyFont="1" applyFill="1" applyBorder="1"/>
    <xf numFmtId="0" fontId="42" fillId="16" borderId="1" xfId="1" applyFont="1" applyFill="1" applyBorder="1" applyAlignment="1">
      <alignment horizontal="center"/>
    </xf>
    <xf numFmtId="0" fontId="9" fillId="16" borderId="2" xfId="1" applyFont="1" applyFill="1" applyBorder="1"/>
    <xf numFmtId="38" fontId="9" fillId="16" borderId="3" xfId="1" applyNumberFormat="1" applyFont="1" applyFill="1" applyBorder="1" applyAlignment="1">
      <alignment horizontal="center"/>
    </xf>
    <xf numFmtId="0" fontId="9" fillId="16" borderId="3" xfId="1" applyFont="1" applyFill="1" applyBorder="1"/>
    <xf numFmtId="38" fontId="9" fillId="16" borderId="1" xfId="1" applyNumberFormat="1" applyFont="1" applyFill="1" applyBorder="1" applyAlignment="1">
      <alignment horizontal="center"/>
    </xf>
    <xf numFmtId="0" fontId="9" fillId="16" borderId="1" xfId="1" applyFont="1" applyFill="1" applyBorder="1"/>
    <xf numFmtId="38" fontId="9" fillId="16" borderId="0" xfId="1" applyNumberFormat="1" applyFont="1" applyFill="1" applyBorder="1" applyAlignment="1">
      <alignment horizontal="center"/>
    </xf>
    <xf numFmtId="0" fontId="9" fillId="16" borderId="6" xfId="1" applyFont="1" applyFill="1" applyBorder="1"/>
    <xf numFmtId="38" fontId="46" fillId="16" borderId="3" xfId="1" applyNumberFormat="1" applyFont="1" applyFill="1" applyBorder="1" applyAlignment="1">
      <alignment horizontal="center"/>
    </xf>
    <xf numFmtId="0" fontId="9" fillId="16" borderId="0" xfId="1" applyFont="1" applyFill="1" applyBorder="1"/>
    <xf numFmtId="0" fontId="42" fillId="16" borderId="17" xfId="1" applyFont="1" applyFill="1" applyBorder="1"/>
    <xf numFmtId="0" fontId="9" fillId="16" borderId="9" xfId="1" applyFont="1" applyFill="1" applyBorder="1"/>
    <xf numFmtId="38" fontId="9" fillId="16" borderId="1" xfId="1" applyNumberFormat="1" applyFont="1" applyFill="1" applyBorder="1"/>
    <xf numFmtId="0" fontId="42" fillId="16" borderId="8" xfId="1" applyFont="1" applyFill="1" applyBorder="1"/>
    <xf numFmtId="0" fontId="9" fillId="16" borderId="18" xfId="1" applyFont="1" applyFill="1" applyBorder="1"/>
    <xf numFmtId="0" fontId="9" fillId="16" borderId="2" xfId="1" applyFont="1" applyFill="1" applyBorder="1" applyAlignment="1">
      <alignment horizontal="center"/>
    </xf>
    <xf numFmtId="3" fontId="9" fillId="16" borderId="14" xfId="1" applyNumberFormat="1" applyFont="1" applyFill="1" applyBorder="1" applyAlignment="1">
      <alignment horizontal="center"/>
    </xf>
    <xf numFmtId="0" fontId="9" fillId="16" borderId="3" xfId="1" applyFont="1" applyFill="1" applyBorder="1" applyAlignment="1">
      <alignment horizontal="center"/>
    </xf>
    <xf numFmtId="3" fontId="9" fillId="16" borderId="19" xfId="1" applyNumberFormat="1" applyFont="1" applyFill="1" applyBorder="1" applyAlignment="1">
      <alignment horizontal="center"/>
    </xf>
    <xf numFmtId="0" fontId="9" fillId="16" borderId="5" xfId="1" applyFont="1" applyFill="1" applyBorder="1" applyAlignment="1">
      <alignment horizontal="center"/>
    </xf>
    <xf numFmtId="0" fontId="9" fillId="16" borderId="3" xfId="1" applyNumberFormat="1" applyFont="1" applyFill="1" applyBorder="1" applyAlignment="1">
      <alignment horizontal="center"/>
    </xf>
    <xf numFmtId="3" fontId="42" fillId="16" borderId="20" xfId="1" applyNumberFormat="1" applyFont="1" applyFill="1" applyBorder="1" applyAlignment="1">
      <alignment horizontal="center"/>
    </xf>
    <xf numFmtId="0" fontId="42" fillId="16" borderId="8" xfId="1" applyFont="1" applyFill="1" applyBorder="1" applyAlignment="1">
      <alignment horizontal="left"/>
    </xf>
    <xf numFmtId="0" fontId="42" fillId="16" borderId="6" xfId="1" applyFont="1" applyFill="1" applyBorder="1" applyAlignment="1">
      <alignment horizontal="left"/>
    </xf>
    <xf numFmtId="0" fontId="9" fillId="16" borderId="6" xfId="1" applyFont="1" applyFill="1" applyBorder="1" applyAlignment="1">
      <alignment horizontal="center"/>
    </xf>
    <xf numFmtId="0" fontId="9" fillId="16" borderId="16" xfId="1" applyFont="1" applyFill="1" applyBorder="1"/>
    <xf numFmtId="0" fontId="9" fillId="16" borderId="6" xfId="1" applyFont="1" applyFill="1" applyBorder="1" applyAlignment="1"/>
    <xf numFmtId="0" fontId="42" fillId="16" borderId="0" xfId="1" applyFont="1" applyFill="1" applyBorder="1" applyAlignment="1">
      <alignment horizontal="left"/>
    </xf>
    <xf numFmtId="0" fontId="9" fillId="16" borderId="0" xfId="1" applyFont="1" applyFill="1" applyBorder="1" applyAlignment="1">
      <alignment horizontal="center"/>
    </xf>
    <xf numFmtId="0" fontId="9" fillId="16" borderId="15" xfId="1" applyFont="1" applyFill="1" applyBorder="1"/>
    <xf numFmtId="0" fontId="9" fillId="16" borderId="2" xfId="1" applyFont="1" applyFill="1" applyBorder="1" applyAlignment="1"/>
    <xf numFmtId="0" fontId="42" fillId="15" borderId="4" xfId="1" applyFont="1" applyFill="1" applyBorder="1"/>
    <xf numFmtId="0" fontId="42" fillId="15" borderId="5" xfId="1" applyFont="1" applyFill="1" applyBorder="1" applyAlignment="1">
      <alignment horizontal="center"/>
    </xf>
    <xf numFmtId="0" fontId="9" fillId="15" borderId="4" xfId="1" applyFont="1" applyFill="1" applyBorder="1" applyAlignment="1"/>
    <xf numFmtId="0" fontId="9" fillId="15" borderId="3" xfId="1" applyFont="1" applyFill="1" applyBorder="1" applyAlignment="1"/>
    <xf numFmtId="0" fontId="9" fillId="15" borderId="5" xfId="1" applyFont="1" applyFill="1" applyBorder="1" applyAlignment="1"/>
    <xf numFmtId="38" fontId="9" fillId="15" borderId="1" xfId="1" applyNumberFormat="1" applyFont="1" applyFill="1" applyBorder="1"/>
    <xf numFmtId="0" fontId="9" fillId="15" borderId="2" xfId="1" applyFont="1" applyFill="1" applyBorder="1" applyAlignment="1"/>
    <xf numFmtId="38" fontId="9" fillId="15" borderId="3" xfId="1" applyNumberFormat="1" applyFont="1" applyFill="1" applyBorder="1"/>
    <xf numFmtId="0" fontId="9" fillId="15" borderId="2" xfId="1" applyFont="1" applyFill="1" applyBorder="1" applyAlignment="1">
      <alignment horizontal="center"/>
    </xf>
    <xf numFmtId="0" fontId="9" fillId="15" borderId="4" xfId="1" applyFont="1" applyFill="1" applyBorder="1" applyAlignment="1">
      <alignment horizontal="center"/>
    </xf>
    <xf numFmtId="3" fontId="9" fillId="15" borderId="14" xfId="1" applyNumberFormat="1" applyFont="1" applyFill="1" applyBorder="1" applyAlignment="1">
      <alignment horizontal="center"/>
    </xf>
    <xf numFmtId="0" fontId="9" fillId="15" borderId="3" xfId="1" applyFont="1" applyFill="1" applyBorder="1" applyAlignment="1">
      <alignment horizontal="center"/>
    </xf>
    <xf numFmtId="3" fontId="9" fillId="15" borderId="19" xfId="1" applyNumberFormat="1" applyFont="1" applyFill="1" applyBorder="1" applyAlignment="1">
      <alignment horizontal="center"/>
    </xf>
    <xf numFmtId="0" fontId="9" fillId="15" borderId="5" xfId="1" applyFont="1" applyFill="1" applyBorder="1" applyAlignment="1">
      <alignment horizontal="center"/>
    </xf>
    <xf numFmtId="0" fontId="9" fillId="15" borderId="3" xfId="1" applyNumberFormat="1" applyFont="1" applyFill="1" applyBorder="1" applyAlignment="1">
      <alignment horizontal="center"/>
    </xf>
    <xf numFmtId="3" fontId="42" fillId="15" borderId="20" xfId="1" applyNumberFormat="1" applyFont="1" applyFill="1" applyBorder="1" applyAlignment="1">
      <alignment horizontal="center"/>
    </xf>
  </cellXfs>
  <cellStyles count="11">
    <cellStyle name="20% - Accent1" xfId="4" builtinId="30"/>
    <cellStyle name="Comma" xfId="2" builtinId="3"/>
    <cellStyle name="Comma 2" xfId="7" xr:uid="{F01079A0-57CF-4BE9-A74B-D4EA235CE834}"/>
    <cellStyle name="Currency" xfId="8" builtinId="4"/>
    <cellStyle name="Normal" xfId="0" builtinId="0"/>
    <cellStyle name="Normal 2" xfId="1" xr:uid="{00000000-0005-0000-0000-000001000000}"/>
    <cellStyle name="Normal 3" xfId="5" xr:uid="{496932D9-C1D5-4F44-83A7-7AB369AA7B6C}"/>
    <cellStyle name="Normal 4" xfId="10" xr:uid="{81FCD9D9-8C12-4ABD-873F-272D59658DB7}"/>
    <cellStyle name="Percent" xfId="3" builtinId="5"/>
    <cellStyle name="Percent 2" xfId="6" xr:uid="{2C3A3EBA-F8F1-4B50-B729-5FFC42105C40}"/>
    <cellStyle name="Percent 3" xfId="9" xr:uid="{BF203117-C137-4BB1-8468-76C6C14F1DCD}"/>
  </cellStyles>
  <dxfs count="0"/>
  <tableStyles count="0" defaultTableStyle="TableStyleMedium9" defaultPivotStyle="PivotStyleLight16"/>
  <colors>
    <mruColors>
      <color rgb="FF952E38"/>
      <color rgb="FFFFE78D"/>
      <color rgb="FFFFF2BD"/>
      <color rgb="FFE2C329"/>
      <color rgb="FFF0F8FA"/>
      <color rgb="FFE3ECF7"/>
      <color rgb="FFE0F5F7"/>
      <color rgb="FFD7E5FF"/>
      <color rgb="FF000000"/>
      <color rgb="FF0C3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Berl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5"/>
  <sheetViews>
    <sheetView tabSelected="1" view="pageLayout" zoomScaleNormal="100" zoomScaleSheetLayoutView="138" workbookViewId="0">
      <selection activeCell="G17" sqref="G17"/>
    </sheetView>
  </sheetViews>
  <sheetFormatPr baseColWidth="10" defaultColWidth="9.1640625" defaultRowHeight="14.25" customHeight="1" x14ac:dyDescent="0.15"/>
  <cols>
    <col min="1" max="1" width="9.33203125" style="38" customWidth="1"/>
    <col min="2" max="2" width="11.6640625" style="38" customWidth="1"/>
    <col min="3" max="3" width="9.83203125" style="39" customWidth="1"/>
    <col min="4" max="4" width="9.5" style="38" customWidth="1"/>
    <col min="5" max="5" width="9" style="38" customWidth="1"/>
    <col min="6" max="6" width="9.1640625" style="38" customWidth="1"/>
    <col min="7" max="9" width="9.6640625" style="38" customWidth="1"/>
    <col min="10" max="10" width="9.33203125" style="38" customWidth="1"/>
    <col min="11" max="12" width="8.33203125" style="38" customWidth="1"/>
    <col min="13" max="13" width="10.33203125" style="38" customWidth="1"/>
    <col min="14" max="16384" width="9.1640625" style="38"/>
  </cols>
  <sheetData>
    <row r="1" spans="1:13" s="37" customFormat="1" ht="13.5" customHeight="1" x14ac:dyDescent="0.15">
      <c r="A1" s="728" t="s">
        <v>47</v>
      </c>
      <c r="B1" s="728"/>
      <c r="C1" s="729"/>
      <c r="D1" s="730"/>
      <c r="E1" s="730"/>
      <c r="F1" s="730"/>
      <c r="G1" s="730"/>
      <c r="H1" s="730"/>
      <c r="I1" s="730"/>
      <c r="J1" s="730"/>
      <c r="K1" s="730"/>
      <c r="L1" s="730"/>
      <c r="M1" s="731" t="s">
        <v>308</v>
      </c>
    </row>
    <row r="2" spans="1:13" ht="11.25" customHeight="1" x14ac:dyDescent="0.15">
      <c r="A2" s="574"/>
      <c r="B2" s="574"/>
      <c r="C2" s="575" t="s">
        <v>68</v>
      </c>
      <c r="D2" s="576" t="s">
        <v>35</v>
      </c>
      <c r="E2" s="577"/>
      <c r="F2" s="578"/>
      <c r="G2" s="744" t="s">
        <v>153</v>
      </c>
      <c r="H2" s="745"/>
      <c r="I2" s="745"/>
      <c r="J2" s="777" t="s">
        <v>154</v>
      </c>
      <c r="K2" s="736"/>
      <c r="L2" s="736"/>
      <c r="M2" s="736"/>
    </row>
    <row r="3" spans="1:13" ht="11.25" customHeight="1" x14ac:dyDescent="0.15">
      <c r="A3" s="579"/>
      <c r="B3" s="579"/>
      <c r="C3" s="580" t="s">
        <v>88</v>
      </c>
      <c r="D3" s="581">
        <v>2021</v>
      </c>
      <c r="E3" s="580">
        <f>D3+1</f>
        <v>2022</v>
      </c>
      <c r="F3" s="580">
        <f t="shared" ref="F3:K3" si="0">E3+1</f>
        <v>2023</v>
      </c>
      <c r="G3" s="746">
        <f t="shared" si="0"/>
        <v>2024</v>
      </c>
      <c r="H3" s="746">
        <f t="shared" si="0"/>
        <v>2025</v>
      </c>
      <c r="I3" s="746">
        <f t="shared" si="0"/>
        <v>2026</v>
      </c>
      <c r="J3" s="737">
        <f t="shared" si="0"/>
        <v>2027</v>
      </c>
      <c r="K3" s="737">
        <f t="shared" si="0"/>
        <v>2028</v>
      </c>
      <c r="L3" s="778">
        <f>K3+1</f>
        <v>2029</v>
      </c>
      <c r="M3" s="737">
        <f>L3+1</f>
        <v>2030</v>
      </c>
    </row>
    <row r="4" spans="1:13" ht="11.25" customHeight="1" x14ac:dyDescent="0.15">
      <c r="A4" s="582" t="s">
        <v>0</v>
      </c>
      <c r="B4" s="582"/>
      <c r="C4" s="583"/>
      <c r="D4" s="584"/>
      <c r="E4" s="585"/>
      <c r="F4" s="585"/>
      <c r="G4" s="747"/>
      <c r="H4" s="747"/>
      <c r="I4" s="747"/>
      <c r="J4" s="738"/>
      <c r="K4" s="738"/>
      <c r="L4" s="779"/>
      <c r="M4" s="738"/>
    </row>
    <row r="5" spans="1:13" ht="11.25" customHeight="1" x14ac:dyDescent="0.15">
      <c r="A5" s="586" t="s">
        <v>58</v>
      </c>
      <c r="B5" s="287" t="s">
        <v>49</v>
      </c>
      <c r="C5" s="587">
        <f>'2.Market-rate Rental Housing'!C30</f>
        <v>0</v>
      </c>
      <c r="D5" s="587">
        <f>'2.Market-rate Rental Housing'!D30</f>
        <v>0</v>
      </c>
      <c r="E5" s="587">
        <f>'2.Market-rate Rental Housing'!E30</f>
        <v>0</v>
      </c>
      <c r="F5" s="587">
        <f>'2.Market-rate Rental Housing'!F30</f>
        <v>6717734.5911404453</v>
      </c>
      <c r="G5" s="748">
        <f>'2.Market-rate Rental Housing'!G30</f>
        <v>6852089.2829632554</v>
      </c>
      <c r="H5" s="748">
        <f>'2.Market-rate Rental Housing'!H30</f>
        <v>8607113.0253122635</v>
      </c>
      <c r="I5" s="748">
        <f>'2.Market-rate Rental Housing'!I30</f>
        <v>16138647.140212465</v>
      </c>
      <c r="J5" s="739">
        <f>'2.Market-rate Rental Housing'!J30</f>
        <v>16461420.083016716</v>
      </c>
      <c r="K5" s="739">
        <f>'2.Market-rate Rental Housing'!K30</f>
        <v>16790648.48467705</v>
      </c>
      <c r="L5" s="739">
        <f>'2.Market-rate Rental Housing'!L30</f>
        <v>24118345.114550129</v>
      </c>
      <c r="M5" s="739">
        <f>'2.Market-rate Rental Housing'!M30</f>
        <v>24600712.016841128</v>
      </c>
    </row>
    <row r="6" spans="1:13" ht="11.25" customHeight="1" x14ac:dyDescent="0.15">
      <c r="A6" s="588" t="s">
        <v>80</v>
      </c>
      <c r="B6" s="287" t="s">
        <v>49</v>
      </c>
      <c r="C6" s="589"/>
      <c r="D6" s="590"/>
      <c r="E6" s="591"/>
      <c r="F6" s="591"/>
      <c r="G6" s="749"/>
      <c r="H6" s="749"/>
      <c r="I6" s="749"/>
      <c r="J6" s="740"/>
      <c r="K6" s="740"/>
      <c r="L6" s="780"/>
      <c r="M6" s="740"/>
    </row>
    <row r="7" spans="1:13" ht="11.25" customHeight="1" x14ac:dyDescent="0.15">
      <c r="A7" s="586" t="s">
        <v>57</v>
      </c>
      <c r="B7" s="287" t="s">
        <v>49</v>
      </c>
      <c r="C7" s="587">
        <f>'3. Affordable Rental Housing'!C30</f>
        <v>0</v>
      </c>
      <c r="D7" s="587">
        <f>'3. Affordable Rental Housing'!D30</f>
        <v>0</v>
      </c>
      <c r="E7" s="587">
        <f>'3. Affordable Rental Housing'!E30</f>
        <v>0</v>
      </c>
      <c r="F7" s="587">
        <f>'3. Affordable Rental Housing'!F30</f>
        <v>1779154.9392862697</v>
      </c>
      <c r="G7" s="748">
        <f>'3. Affordable Rental Housing'!G30</f>
        <v>1814738.0380719951</v>
      </c>
      <c r="H7" s="748">
        <f>'3. Affordable Rental Housing'!H30</f>
        <v>2488366.4967273623</v>
      </c>
      <c r="I7" s="748">
        <f>'3. Affordable Rental Housing'!I30</f>
        <v>4893453.4272539299</v>
      </c>
      <c r="J7" s="739">
        <f>'3. Affordable Rental Housing'!J30</f>
        <v>4991322.4957990069</v>
      </c>
      <c r="K7" s="739">
        <f>'3. Affordable Rental Housing'!K30</f>
        <v>5091148.9457149887</v>
      </c>
      <c r="L7" s="739">
        <f>'3. Affordable Rental Housing'!L30</f>
        <v>5830288.9469935391</v>
      </c>
      <c r="M7" s="739">
        <f>'3. Affordable Rental Housing'!M30</f>
        <v>5946894.7259334112</v>
      </c>
    </row>
    <row r="8" spans="1:13" ht="11.25" customHeight="1" x14ac:dyDescent="0.15">
      <c r="A8" s="656" t="s">
        <v>138</v>
      </c>
      <c r="B8" s="656"/>
      <c r="C8" s="587">
        <f>'4. Office'!C20</f>
        <v>0</v>
      </c>
      <c r="D8" s="587">
        <f>'4. Office'!D20</f>
        <v>0</v>
      </c>
      <c r="E8" s="587">
        <f>'4. Office'!E20</f>
        <v>0</v>
      </c>
      <c r="F8" s="587">
        <f>'4. Office'!F20</f>
        <v>4241496.0926520005</v>
      </c>
      <c r="G8" s="748">
        <f>'4. Office'!G20</f>
        <v>4326326.0145050399</v>
      </c>
      <c r="H8" s="748">
        <f>'4. Office'!H20</f>
        <v>8908224.7036679126</v>
      </c>
      <c r="I8" s="748">
        <f>'4. Office'!I20</f>
        <v>13671668.809991498</v>
      </c>
      <c r="J8" s="739">
        <f>'4. Office'!J20</f>
        <v>13945102.18619133</v>
      </c>
      <c r="K8" s="739">
        <f>'4. Office'!K20</f>
        <v>14224004.229915153</v>
      </c>
      <c r="L8" s="739">
        <f>'4. Office'!L20</f>
        <v>18596059.964764006</v>
      </c>
      <c r="M8" s="739">
        <f>'4. Office'!M20</f>
        <v>18967981.164059285</v>
      </c>
    </row>
    <row r="9" spans="1:13" ht="11.25" customHeight="1" x14ac:dyDescent="0.15">
      <c r="A9" s="656" t="s">
        <v>52</v>
      </c>
      <c r="B9" s="656"/>
      <c r="C9" s="587">
        <f>'5. Retail'!C27</f>
        <v>0</v>
      </c>
      <c r="D9" s="587">
        <f>'5. Retail'!D27</f>
        <v>0</v>
      </c>
      <c r="E9" s="587">
        <f>'5. Retail'!E27</f>
        <v>0</v>
      </c>
      <c r="F9" s="587">
        <f>'5. Retail'!F27</f>
        <v>1498731.7745438516</v>
      </c>
      <c r="G9" s="748">
        <f>'5. Retail'!G27</f>
        <v>1528706.4100347287</v>
      </c>
      <c r="H9" s="748">
        <f>'5. Retail'!H27</f>
        <v>1725594.0747551036</v>
      </c>
      <c r="I9" s="748">
        <f>'5. Retail'!I27</f>
        <v>5044249.9510410866</v>
      </c>
      <c r="J9" s="739">
        <f>'5. Retail'!J27</f>
        <v>5145134.950061908</v>
      </c>
      <c r="K9" s="739">
        <f>'5. Retail'!K27</f>
        <v>5248037.6490631457</v>
      </c>
      <c r="L9" s="739">
        <f>'5. Retail'!L27</f>
        <v>7524849.9689405337</v>
      </c>
      <c r="M9" s="739">
        <f>'5. Retail'!M27</f>
        <v>7675346.9683193471</v>
      </c>
    </row>
    <row r="10" spans="1:13" ht="11.25" customHeight="1" x14ac:dyDescent="0.15">
      <c r="A10" s="656" t="s">
        <v>53</v>
      </c>
      <c r="B10" s="656"/>
      <c r="C10" s="587">
        <f>'6. Hotel'!C28</f>
        <v>0</v>
      </c>
      <c r="D10" s="587">
        <f>'6. Hotel'!D28</f>
        <v>0</v>
      </c>
      <c r="E10" s="587">
        <f>'6. Hotel'!E28</f>
        <v>0</v>
      </c>
      <c r="F10" s="587">
        <f>'6. Hotel'!F28</f>
        <v>10384106.775168002</v>
      </c>
      <c r="G10" s="748">
        <f>'6. Hotel'!G28</f>
        <v>10591788.910671365</v>
      </c>
      <c r="H10" s="748">
        <f>'6. Hotel'!H28</f>
        <v>10803624.688884789</v>
      </c>
      <c r="I10" s="748">
        <f>'6. Hotel'!I28</f>
        <v>12354559.579832166</v>
      </c>
      <c r="J10" s="739">
        <f>'6. Hotel'!J28</f>
        <v>12601650.77142881</v>
      </c>
      <c r="K10" s="739">
        <f>'6. Hotel'!K28</f>
        <v>12853683.786857389</v>
      </c>
      <c r="L10" s="739">
        <f>'6. Hotel'!L28</f>
        <v>13110757.462594535</v>
      </c>
      <c r="M10" s="739">
        <f>'6. Hotel'!M28</f>
        <v>13372972.611846425</v>
      </c>
    </row>
    <row r="11" spans="1:13" ht="11.25" customHeight="1" x14ac:dyDescent="0.15">
      <c r="A11" s="656" t="s">
        <v>55</v>
      </c>
      <c r="B11" s="656"/>
      <c r="C11" s="587">
        <f>'7. Surface Parking'!C18</f>
        <v>0</v>
      </c>
      <c r="D11" s="587">
        <f>'7. Surface Parking'!D18</f>
        <v>0</v>
      </c>
      <c r="E11" s="587">
        <f>'7. Surface Parking'!E18</f>
        <v>0</v>
      </c>
      <c r="F11" s="587">
        <f>'7. Surface Parking'!F18</f>
        <v>123120</v>
      </c>
      <c r="G11" s="748">
        <f>'7. Surface Parking'!G18</f>
        <v>123120</v>
      </c>
      <c r="H11" s="748">
        <f>'7. Surface Parking'!H18</f>
        <v>123120</v>
      </c>
      <c r="I11" s="748">
        <f>'7. Surface Parking'!I18</f>
        <v>202500</v>
      </c>
      <c r="J11" s="739">
        <f>'7. Surface Parking'!J18</f>
        <v>202500</v>
      </c>
      <c r="K11" s="739">
        <f>'7. Surface Parking'!K18</f>
        <v>275400</v>
      </c>
      <c r="L11" s="739">
        <f>'7. Surface Parking'!L18</f>
        <v>275400</v>
      </c>
      <c r="M11" s="739">
        <f>'7. Surface Parking'!M18</f>
        <v>275400</v>
      </c>
    </row>
    <row r="12" spans="1:13" ht="11.25" customHeight="1" x14ac:dyDescent="0.15">
      <c r="A12" s="704" t="s">
        <v>1</v>
      </c>
      <c r="B12" s="704"/>
      <c r="C12" s="592">
        <f t="shared" ref="C12:M12" si="1">SUM(C5:C11)</f>
        <v>0</v>
      </c>
      <c r="D12" s="592">
        <f t="shared" si="1"/>
        <v>0</v>
      </c>
      <c r="E12" s="592">
        <f t="shared" si="1"/>
        <v>0</v>
      </c>
      <c r="F12" s="592">
        <f t="shared" si="1"/>
        <v>24744344.172790568</v>
      </c>
      <c r="G12" s="750">
        <f t="shared" si="1"/>
        <v>25236768.656246386</v>
      </c>
      <c r="H12" s="750">
        <f t="shared" si="1"/>
        <v>32656042.989347428</v>
      </c>
      <c r="I12" s="750">
        <f t="shared" si="1"/>
        <v>52305078.908331141</v>
      </c>
      <c r="J12" s="741">
        <f t="shared" si="1"/>
        <v>53347130.486497767</v>
      </c>
      <c r="K12" s="741">
        <f t="shared" si="1"/>
        <v>54482923.096227728</v>
      </c>
      <c r="L12" s="741">
        <f t="shared" si="1"/>
        <v>69455701.457842737</v>
      </c>
      <c r="M12" s="741">
        <f t="shared" si="1"/>
        <v>70839307.486999601</v>
      </c>
    </row>
    <row r="13" spans="1:13" ht="11.25" customHeight="1" x14ac:dyDescent="0.15">
      <c r="A13" s="704" t="s">
        <v>81</v>
      </c>
      <c r="B13" s="704"/>
      <c r="C13" s="579"/>
      <c r="D13" s="593"/>
      <c r="E13" s="594"/>
      <c r="F13" s="594"/>
      <c r="G13" s="751"/>
      <c r="H13" s="751"/>
      <c r="I13" s="751"/>
      <c r="J13" s="742"/>
      <c r="K13" s="742"/>
      <c r="L13" s="781"/>
      <c r="M13" s="782">
        <f>'2.Market-rate Rental Housing'!M31+'2.Market-rate Rental Housing'!M32+'3. Affordable Rental Housing'!M31+'3. Affordable Rental Housing'!M32+'5. Retail'!M28+'5. Retail'!M29+'4. Office'!M28+'4. Office'!M29+'6. Hotel'!M29+'6. Hotel'!M30+'7. Surface Parking'!M27</f>
        <v>1235964297.8627357</v>
      </c>
    </row>
    <row r="14" spans="1:13" ht="11.25" customHeight="1" x14ac:dyDescent="0.15">
      <c r="A14" s="595"/>
      <c r="B14" s="595" t="s">
        <v>82</v>
      </c>
      <c r="C14" s="596">
        <f>C12+C13</f>
        <v>0</v>
      </c>
      <c r="D14" s="596">
        <f t="shared" ref="D14:M14" si="2">D12+D13</f>
        <v>0</v>
      </c>
      <c r="E14" s="596">
        <f t="shared" si="2"/>
        <v>0</v>
      </c>
      <c r="F14" s="596">
        <f t="shared" si="2"/>
        <v>24744344.172790568</v>
      </c>
      <c r="G14" s="752">
        <f t="shared" si="2"/>
        <v>25236768.656246386</v>
      </c>
      <c r="H14" s="752">
        <f t="shared" si="2"/>
        <v>32656042.989347428</v>
      </c>
      <c r="I14" s="752">
        <f t="shared" si="2"/>
        <v>52305078.908331141</v>
      </c>
      <c r="J14" s="743">
        <f t="shared" si="2"/>
        <v>53347130.486497767</v>
      </c>
      <c r="K14" s="743">
        <f t="shared" si="2"/>
        <v>54482923.096227728</v>
      </c>
      <c r="L14" s="743">
        <f t="shared" si="2"/>
        <v>69455701.457842737</v>
      </c>
      <c r="M14" s="743">
        <f t="shared" si="2"/>
        <v>1306803605.3497353</v>
      </c>
    </row>
    <row r="15" spans="1:13" s="45" customFormat="1" ht="11.25" customHeight="1" x14ac:dyDescent="0.15">
      <c r="A15" s="768"/>
      <c r="B15" s="769"/>
      <c r="C15" s="770"/>
      <c r="D15" s="771"/>
      <c r="E15" s="753"/>
      <c r="F15" s="753"/>
      <c r="G15" s="753"/>
      <c r="H15" s="753"/>
      <c r="I15" s="753"/>
      <c r="J15" s="753"/>
      <c r="K15" s="753"/>
      <c r="L15" s="772"/>
      <c r="M15" s="753"/>
    </row>
    <row r="16" spans="1:13" ht="11.25" customHeight="1" x14ac:dyDescent="0.15">
      <c r="A16" s="582" t="s">
        <v>2</v>
      </c>
      <c r="B16" s="582"/>
      <c r="C16" s="583"/>
      <c r="D16" s="584"/>
      <c r="E16" s="585"/>
      <c r="F16" s="585"/>
      <c r="G16" s="747"/>
      <c r="H16" s="747"/>
      <c r="I16" s="747"/>
      <c r="J16" s="738"/>
      <c r="K16" s="738"/>
      <c r="L16" s="783"/>
      <c r="M16" s="738"/>
    </row>
    <row r="17" spans="1:13" ht="11.25" customHeight="1" x14ac:dyDescent="0.15">
      <c r="A17" s="586" t="s">
        <v>58</v>
      </c>
      <c r="B17" s="287" t="s">
        <v>49</v>
      </c>
      <c r="C17" s="587">
        <f>'2.Market-rate Rental Housing'!C26</f>
        <v>0</v>
      </c>
      <c r="D17" s="726">
        <f>'2.Market-rate Rental Housing'!D26</f>
        <v>-43511163.127670117</v>
      </c>
      <c r="E17" s="726">
        <f>'2.Market-rate Rental Housing'!E26</f>
        <v>-44381386.390223518</v>
      </c>
      <c r="F17" s="587">
        <f>'2.Market-rate Rental Housing'!F26</f>
        <v>0</v>
      </c>
      <c r="G17" s="754">
        <f>'2.Market-rate Rental Housing'!G26</f>
        <v>-38059496.164407626</v>
      </c>
      <c r="H17" s="748">
        <f>'2.Market-rate Rental Housing'!H26</f>
        <v>-38820686.087695777</v>
      </c>
      <c r="I17" s="748">
        <f>'2.Market-rate Rental Housing'!I26</f>
        <v>0</v>
      </c>
      <c r="J17" s="739">
        <f>'2.Market-rate Rental Housing'!J26</f>
        <v>-54186876.139768437</v>
      </c>
      <c r="K17" s="739">
        <f>'2.Market-rate Rental Housing'!K26</f>
        <v>-55270613.662563808</v>
      </c>
      <c r="L17" s="739">
        <f>'2.Market-rate Rental Housing'!L26</f>
        <v>0</v>
      </c>
      <c r="M17" s="739">
        <f>'2.Market-rate Rental Housing'!M26</f>
        <v>0</v>
      </c>
    </row>
    <row r="18" spans="1:13" ht="11.25" customHeight="1" x14ac:dyDescent="0.15">
      <c r="A18" s="586" t="s">
        <v>57</v>
      </c>
      <c r="B18" s="287" t="s">
        <v>49</v>
      </c>
      <c r="C18" s="587">
        <f>'3. Affordable Rental Housing'!C26</f>
        <v>0</v>
      </c>
      <c r="D18" s="726">
        <f>'3. Affordable Rental Housing'!D26</f>
        <v>-7693861.2456812588</v>
      </c>
      <c r="E18" s="726">
        <f>'3. Affordable Rental Housing'!E26</f>
        <v>-7847738.4705948848</v>
      </c>
      <c r="F18" s="587">
        <f>'3. Affordable Rental Housing'!F26</f>
        <v>0</v>
      </c>
      <c r="G18" s="754">
        <f>'3. Affordable Rental Housing'!G26</f>
        <v>-4979192.8672986813</v>
      </c>
      <c r="H18" s="754">
        <f>'3. Affordable Rental Housing'!H26</f>
        <v>-5078776.7246446554</v>
      </c>
      <c r="I18" s="748">
        <f>'3. Affordable Rental Housing'!I26</f>
        <v>0</v>
      </c>
      <c r="J18" s="739">
        <f>'3. Affordable Rental Housing'!J26</f>
        <v>-4806648.3266864447</v>
      </c>
      <c r="K18" s="739">
        <f>'3. Affordable Rental Housing'!K26</f>
        <v>-4902781.2932201736</v>
      </c>
      <c r="L18" s="739">
        <f>'3. Affordable Rental Housing'!L26</f>
        <v>0</v>
      </c>
      <c r="M18" s="739">
        <f>'3. Affordable Rental Housing'!M26</f>
        <v>0</v>
      </c>
    </row>
    <row r="19" spans="1:13" ht="11.25" customHeight="1" x14ac:dyDescent="0.15">
      <c r="A19" s="656" t="s">
        <v>51</v>
      </c>
      <c r="B19" s="656"/>
      <c r="C19" s="587">
        <f>'4. Office'!C23</f>
        <v>0</v>
      </c>
      <c r="D19" s="726">
        <f>'4. Office'!D23</f>
        <v>-58409238.361557171</v>
      </c>
      <c r="E19" s="726">
        <f>'4. Office'!E23</f>
        <v>-59577423.128788307</v>
      </c>
      <c r="F19" s="587">
        <f>'4. Office'!F23</f>
        <v>0</v>
      </c>
      <c r="G19" s="754">
        <f>'4. Office'!G23</f>
        <v>-31279265.596046917</v>
      </c>
      <c r="H19" s="748">
        <f>'4. Office'!H23</f>
        <v>-31904850.907967854</v>
      </c>
      <c r="I19" s="748">
        <f>'4. Office'!I23</f>
        <v>0</v>
      </c>
      <c r="J19" s="739">
        <f>'4. Office'!J23</f>
        <v>-27884093.276783936</v>
      </c>
      <c r="K19" s="739">
        <f>'4. Office'!K23</f>
        <v>-28441775.142319616</v>
      </c>
      <c r="L19" s="739">
        <f>'4. Office'!L23</f>
        <v>0</v>
      </c>
      <c r="M19" s="739">
        <f>'4. Office'!M23</f>
        <v>0</v>
      </c>
    </row>
    <row r="20" spans="1:13" ht="11.25" customHeight="1" x14ac:dyDescent="0.15">
      <c r="A20" s="656" t="s">
        <v>294</v>
      </c>
      <c r="B20" s="656"/>
      <c r="C20" s="587">
        <f>'5. Retail'!C23</f>
        <v>0</v>
      </c>
      <c r="D20" s="726">
        <f>'5. Retail'!D23</f>
        <v>-8303032.2559424844</v>
      </c>
      <c r="E20" s="726">
        <f>'5. Retail'!E23</f>
        <v>-8469092.9010613337</v>
      </c>
      <c r="F20" s="587">
        <f>'5. Retail'!F23</f>
        <v>0</v>
      </c>
      <c r="G20" s="754">
        <f>'5. Retail'!G23</f>
        <v>-16440711.879600001</v>
      </c>
      <c r="H20" s="748">
        <f>'5. Retail'!H23</f>
        <v>-16769526.117192002</v>
      </c>
      <c r="I20" s="748">
        <f>'5. Retail'!I23</f>
        <v>0</v>
      </c>
      <c r="J20" s="739">
        <f>'5. Retail'!J23</f>
        <v>-10872478.768663328</v>
      </c>
      <c r="K20" s="739">
        <f>'5. Retail'!K23</f>
        <v>-11089928.344036596</v>
      </c>
      <c r="L20" s="739">
        <f>'5. Retail'!L23</f>
        <v>0</v>
      </c>
      <c r="M20" s="739">
        <f>'5. Retail'!M23</f>
        <v>0</v>
      </c>
    </row>
    <row r="21" spans="1:13" ht="11.25" customHeight="1" x14ac:dyDescent="0.15">
      <c r="A21" s="656" t="s">
        <v>53</v>
      </c>
      <c r="B21" s="656"/>
      <c r="C21" s="587">
        <f>'6. Hotel'!C24</f>
        <v>0</v>
      </c>
      <c r="D21" s="726">
        <f>'6. Hotel'!D24</f>
        <v>-18764168.065990269</v>
      </c>
      <c r="E21" s="726">
        <f>'6. Hotel'!E24</f>
        <v>-19139451.427310076</v>
      </c>
      <c r="F21" s="587">
        <f>'6. Hotel'!F24</f>
        <v>0</v>
      </c>
      <c r="G21" s="754">
        <f>'6. Hotel'!G24</f>
        <v>-2412107.5512590106</v>
      </c>
      <c r="H21" s="748">
        <f>'6. Hotel'!H24</f>
        <v>-2460349.7022841908</v>
      </c>
      <c r="I21" s="748">
        <f>'6. Hotel'!I24</f>
        <v>0</v>
      </c>
      <c r="J21" s="739">
        <f>'6. Hotel'!J24</f>
        <v>0</v>
      </c>
      <c r="K21" s="739">
        <f>'6. Hotel'!K24</f>
        <v>0</v>
      </c>
      <c r="L21" s="739">
        <f>'6. Hotel'!L24</f>
        <v>0</v>
      </c>
      <c r="M21" s="739">
        <f>'6. Hotel'!M24</f>
        <v>0</v>
      </c>
    </row>
    <row r="22" spans="1:13" ht="11.25" customHeight="1" x14ac:dyDescent="0.15">
      <c r="A22" s="656" t="s">
        <v>55</v>
      </c>
      <c r="B22" s="656"/>
      <c r="C22" s="587">
        <f>'7. Surface Parking'!C21</f>
        <v>0</v>
      </c>
      <c r="D22" s="726">
        <f>'7. Surface Parking'!D21</f>
        <v>-588030</v>
      </c>
      <c r="E22" s="726">
        <f>'7. Surface Parking'!E21</f>
        <v>-599790.60000000009</v>
      </c>
      <c r="F22" s="587">
        <f>'7. Surface Parking'!F21</f>
        <v>0</v>
      </c>
      <c r="G22" s="754">
        <f>'7. Surface Parking'!G21</f>
        <v>-398686.82533200004</v>
      </c>
      <c r="H22" s="748">
        <f>'7. Surface Parking'!H21</f>
        <v>-406660.56183864002</v>
      </c>
      <c r="I22" s="748">
        <f>'7. Surface Parking'!I21</f>
        <v>0</v>
      </c>
      <c r="J22" s="739">
        <f>'7. Surface Parking'!J21</f>
        <v>-392247.43836053793</v>
      </c>
      <c r="K22" s="739">
        <f>'7. Surface Parking'!K21</f>
        <v>-400092.38712774869</v>
      </c>
      <c r="L22" s="739">
        <f>'7. Surface Parking'!L21</f>
        <v>0</v>
      </c>
      <c r="M22" s="739">
        <f>'7. Surface Parking'!M21</f>
        <v>0</v>
      </c>
    </row>
    <row r="23" spans="1:13" ht="11.25" customHeight="1" x14ac:dyDescent="0.15">
      <c r="A23" s="656" t="s">
        <v>144</v>
      </c>
      <c r="B23" s="656"/>
      <c r="C23" s="726">
        <f>-35000000/2</f>
        <v>-17500000</v>
      </c>
      <c r="D23" s="726">
        <f>-35000000/2</f>
        <v>-17500000</v>
      </c>
      <c r="E23" s="726"/>
      <c r="F23" s="587"/>
      <c r="G23" s="748"/>
      <c r="H23" s="748"/>
      <c r="I23" s="748"/>
      <c r="J23" s="739"/>
      <c r="K23" s="739"/>
      <c r="L23" s="739"/>
      <c r="M23" s="739"/>
    </row>
    <row r="24" spans="1:13" ht="11.25" customHeight="1" x14ac:dyDescent="0.15">
      <c r="A24" s="287"/>
      <c r="B24" s="287" t="s">
        <v>79</v>
      </c>
      <c r="C24" s="726">
        <v>-9067000</v>
      </c>
      <c r="D24" s="726"/>
      <c r="E24" s="726"/>
      <c r="F24" s="587"/>
      <c r="G24" s="748"/>
      <c r="H24" s="748"/>
      <c r="I24" s="748"/>
      <c r="J24" s="739"/>
      <c r="K24" s="739"/>
      <c r="L24" s="739"/>
      <c r="M24" s="739"/>
    </row>
    <row r="25" spans="1:13" ht="11.25" customHeight="1" x14ac:dyDescent="0.15">
      <c r="A25" s="656" t="s">
        <v>231</v>
      </c>
      <c r="B25" s="656"/>
      <c r="C25" s="726">
        <f>'1.Infrastructure Costs'!D24</f>
        <v>-10323134.383743377</v>
      </c>
      <c r="D25" s="726">
        <f>'1.Infrastructure Costs'!E24</f>
        <v>-10413134.383743377</v>
      </c>
      <c r="E25" s="726">
        <f>'1.Infrastructure Costs'!F24</f>
        <v>-10413134.383743377</v>
      </c>
      <c r="F25" s="587">
        <f>'1.Infrastructure Costs'!G24</f>
        <v>-7177693.5781802358</v>
      </c>
      <c r="G25" s="748">
        <f>'1.Infrastructure Costs'!H24</f>
        <v>-24677693.578180235</v>
      </c>
      <c r="H25" s="748">
        <f>'1.Infrastructure Costs'!I24</f>
        <v>-7177693.5781802358</v>
      </c>
      <c r="I25" s="748">
        <f>'1.Infrastructure Costs'!J24</f>
        <v>-7516435.1424978292</v>
      </c>
      <c r="J25" s="739">
        <f>'1.Infrastructure Costs'!K24</f>
        <v>-7516435.1424978292</v>
      </c>
      <c r="K25" s="739">
        <f>'1.Infrastructure Costs'!L24</f>
        <v>-7516435.1424978292</v>
      </c>
      <c r="L25" s="739">
        <f>'1.Infrastructure Costs'!M24</f>
        <v>-100000</v>
      </c>
      <c r="M25" s="739">
        <f>'1.Infrastructure Costs'!N24</f>
        <v>-100000</v>
      </c>
    </row>
    <row r="26" spans="1:13" ht="11.25" customHeight="1" x14ac:dyDescent="0.15">
      <c r="A26" s="597"/>
      <c r="B26" s="597" t="s">
        <v>228</v>
      </c>
      <c r="C26" s="726">
        <v>-5450000</v>
      </c>
      <c r="D26" s="726"/>
      <c r="E26" s="726"/>
      <c r="F26" s="587"/>
      <c r="G26" s="748"/>
      <c r="H26" s="748"/>
      <c r="I26" s="748"/>
      <c r="J26" s="739"/>
      <c r="K26" s="739"/>
      <c r="L26" s="739"/>
      <c r="M26" s="739"/>
    </row>
    <row r="27" spans="1:13" ht="11.25" customHeight="1" x14ac:dyDescent="0.15">
      <c r="A27" s="597"/>
      <c r="B27" s="597" t="s">
        <v>227</v>
      </c>
      <c r="C27" s="726"/>
      <c r="D27" s="726"/>
      <c r="E27" s="726"/>
      <c r="F27" s="587">
        <f>-24262119*Phasing!C18</f>
        <v>-10347607.161097238</v>
      </c>
      <c r="G27" s="748"/>
      <c r="H27" s="748"/>
      <c r="I27" s="748">
        <f>-24262119*Phasing!E18</f>
        <v>-7091769.4564282419</v>
      </c>
      <c r="J27" s="739"/>
      <c r="K27" s="739">
        <f>-24262119*Phasing!G18-1</f>
        <v>-6822743.3824745212</v>
      </c>
      <c r="L27" s="739"/>
      <c r="M27" s="739"/>
    </row>
    <row r="28" spans="1:13" ht="11.25" customHeight="1" x14ac:dyDescent="0.15">
      <c r="A28" s="704" t="s">
        <v>3</v>
      </c>
      <c r="B28" s="704"/>
      <c r="C28" s="727">
        <f t="shared" ref="C28:M28" si="3">SUM(C17:C27)</f>
        <v>-42340134.383743376</v>
      </c>
      <c r="D28" s="727">
        <f t="shared" si="3"/>
        <v>-165182627.44058469</v>
      </c>
      <c r="E28" s="727">
        <f t="shared" si="3"/>
        <v>-150428017.30172148</v>
      </c>
      <c r="F28" s="592">
        <f t="shared" si="3"/>
        <v>-17525300.739277475</v>
      </c>
      <c r="G28" s="750">
        <f t="shared" si="3"/>
        <v>-118247154.46212448</v>
      </c>
      <c r="H28" s="750">
        <f t="shared" si="3"/>
        <v>-102618543.67980336</v>
      </c>
      <c r="I28" s="750">
        <f t="shared" si="3"/>
        <v>-14608204.598926071</v>
      </c>
      <c r="J28" s="741">
        <f t="shared" si="3"/>
        <v>-105658779.0927605</v>
      </c>
      <c r="K28" s="741">
        <f t="shared" si="3"/>
        <v>-114444369.35424028</v>
      </c>
      <c r="L28" s="741">
        <f t="shared" si="3"/>
        <v>-100000</v>
      </c>
      <c r="M28" s="741">
        <f t="shared" si="3"/>
        <v>-100000</v>
      </c>
    </row>
    <row r="29" spans="1:13" s="44" customFormat="1" ht="11.25" customHeight="1" x14ac:dyDescent="0.15">
      <c r="A29" s="773"/>
      <c r="B29" s="773"/>
      <c r="C29" s="774"/>
      <c r="D29" s="775"/>
      <c r="E29" s="755"/>
      <c r="F29" s="755"/>
      <c r="G29" s="755"/>
      <c r="H29" s="755"/>
      <c r="I29" s="755"/>
      <c r="J29" s="755"/>
      <c r="K29" s="755"/>
      <c r="L29" s="776"/>
      <c r="M29" s="755"/>
    </row>
    <row r="30" spans="1:13" ht="11.25" customHeight="1" x14ac:dyDescent="0.15">
      <c r="A30" s="598" t="s">
        <v>4</v>
      </c>
      <c r="B30" s="598"/>
      <c r="C30" s="599"/>
      <c r="D30" s="600"/>
      <c r="E30" s="578"/>
      <c r="F30" s="578"/>
      <c r="G30" s="745"/>
      <c r="H30" s="745"/>
      <c r="I30" s="745"/>
      <c r="J30" s="736"/>
      <c r="K30" s="736"/>
      <c r="L30" s="779"/>
      <c r="M30" s="736"/>
    </row>
    <row r="31" spans="1:13" ht="11.25" customHeight="1" x14ac:dyDescent="0.15">
      <c r="A31" s="656" t="s">
        <v>5</v>
      </c>
      <c r="B31" s="656"/>
      <c r="C31" s="587">
        <f t="shared" ref="C31:M31" si="4">C12</f>
        <v>0</v>
      </c>
      <c r="D31" s="587">
        <f t="shared" si="4"/>
        <v>0</v>
      </c>
      <c r="E31" s="587">
        <f t="shared" si="4"/>
        <v>0</v>
      </c>
      <c r="F31" s="587">
        <f t="shared" si="4"/>
        <v>24744344.172790568</v>
      </c>
      <c r="G31" s="748">
        <f t="shared" si="4"/>
        <v>25236768.656246386</v>
      </c>
      <c r="H31" s="748">
        <f t="shared" si="4"/>
        <v>32656042.989347428</v>
      </c>
      <c r="I31" s="748">
        <f t="shared" si="4"/>
        <v>52305078.908331141</v>
      </c>
      <c r="J31" s="739">
        <f t="shared" si="4"/>
        <v>53347130.486497767</v>
      </c>
      <c r="K31" s="739">
        <f t="shared" si="4"/>
        <v>54482923.096227728</v>
      </c>
      <c r="L31" s="739">
        <f t="shared" si="4"/>
        <v>69455701.457842737</v>
      </c>
      <c r="M31" s="739">
        <f t="shared" si="4"/>
        <v>70839307.486999601</v>
      </c>
    </row>
    <row r="32" spans="1:13" ht="11.25" customHeight="1" x14ac:dyDescent="0.15">
      <c r="A32" s="601"/>
      <c r="B32" s="287" t="s">
        <v>69</v>
      </c>
      <c r="C32" s="587">
        <f>'2.Market-rate Rental Housing'!C31+'3. Affordable Rental Housing'!C31+'5. Retail'!C28+'4. Office'!C28+'6. Hotel'!C29</f>
        <v>0</v>
      </c>
      <c r="D32" s="587">
        <f>'2.Market-rate Rental Housing'!D31+'3. Affordable Rental Housing'!D31+'5. Retail'!D28+'4. Office'!D28+'6. Hotel'!D29</f>
        <v>0</v>
      </c>
      <c r="E32" s="587">
        <f>'2.Market-rate Rental Housing'!E31+'3. Affordable Rental Housing'!E31+'5. Retail'!E28+'4. Office'!E28+'6. Hotel'!E29</f>
        <v>0</v>
      </c>
      <c r="F32" s="587">
        <f>'2.Market-rate Rental Housing'!F31+'3. Affordable Rental Housing'!F31+'5. Retail'!F28+'4. Office'!F28+'6. Hotel'!F29</f>
        <v>179467763.4622772</v>
      </c>
      <c r="G32" s="748">
        <f>'2.Market-rate Rental Housing'!G31+'3. Affordable Rental Housing'!G31+'5. Retail'!G28+'4. Office'!G28+'6. Hotel'!G29</f>
        <v>183057118.73152277</v>
      </c>
      <c r="H32" s="748">
        <f>'2.Market-rate Rental Housing'!H31+'3. Affordable Rental Housing'!H31+'5. Retail'!H28+'4. Office'!H28+'6. Hotel'!H29</f>
        <v>230495892.55572978</v>
      </c>
      <c r="I32" s="748">
        <f>'2.Market-rate Rental Housing'!I31+'3. Affordable Rental Housing'!I31+'5. Retail'!I28+'4. Office'!I28+'6. Hotel'!I29</f>
        <v>466472661.01674044</v>
      </c>
      <c r="J32" s="739">
        <f>'2.Market-rate Rental Housing'!J31+'3. Affordable Rental Housing'!J31+'5. Retail'!J28+'4. Office'!J28+'6. Hotel'!J29</f>
        <v>475802114.23707521</v>
      </c>
      <c r="K32" s="739">
        <f>'2.Market-rate Rental Housing'!K31+'3. Affordable Rental Housing'!K31+'5. Retail'!K28+'4. Office'!K28+'6. Hotel'!K29</f>
        <v>485318156.52181679</v>
      </c>
      <c r="L32" s="739">
        <f>'2.Market-rate Rental Housing'!L31+'3. Affordable Rental Housing'!L31+'5. Retail'!L28+'4. Office'!L28+'6. Hotel'!L29</f>
        <v>669934785.44980288</v>
      </c>
      <c r="M32" s="739">
        <f>'2.Market-rate Rental Housing'!M31+'3. Affordable Rental Housing'!M31+'5. Retail'!M28+'4. Office'!M28+'6. Hotel'!M29+'7. Surface Parking'!M27</f>
        <v>1274104822.5389028</v>
      </c>
    </row>
    <row r="33" spans="1:13" ht="11.25" customHeight="1" x14ac:dyDescent="0.15">
      <c r="A33" s="656" t="s">
        <v>21</v>
      </c>
      <c r="B33" s="656"/>
      <c r="C33" s="602"/>
      <c r="D33" s="590"/>
      <c r="E33" s="591"/>
      <c r="F33" s="591"/>
      <c r="G33" s="749"/>
      <c r="H33" s="749"/>
      <c r="I33" s="749"/>
      <c r="J33" s="740"/>
      <c r="K33" s="740"/>
      <c r="L33" s="780"/>
      <c r="M33" s="784">
        <f>'2.Market-rate Rental Housing'!M32+'3. Affordable Rental Housing'!M32+'5. Retail'!M29+'4. Office'!M29+'6. Hotel'!M30+'7. Surface Parking'!M28</f>
        <v>-38223144.676167078</v>
      </c>
    </row>
    <row r="34" spans="1:13" ht="11.25" customHeight="1" x14ac:dyDescent="0.15">
      <c r="A34" s="656" t="s">
        <v>3</v>
      </c>
      <c r="B34" s="656"/>
      <c r="C34" s="592">
        <f>C28</f>
        <v>-42340134.383743376</v>
      </c>
      <c r="D34" s="592">
        <f t="shared" ref="D34:M34" si="5">D28</f>
        <v>-165182627.44058469</v>
      </c>
      <c r="E34" s="592">
        <f t="shared" si="5"/>
        <v>-150428017.30172148</v>
      </c>
      <c r="F34" s="592">
        <f t="shared" si="5"/>
        <v>-17525300.739277475</v>
      </c>
      <c r="G34" s="750">
        <f t="shared" si="5"/>
        <v>-118247154.46212448</v>
      </c>
      <c r="H34" s="750">
        <f t="shared" si="5"/>
        <v>-102618543.67980336</v>
      </c>
      <c r="I34" s="750">
        <f t="shared" si="5"/>
        <v>-14608204.598926071</v>
      </c>
      <c r="J34" s="741">
        <f t="shared" si="5"/>
        <v>-105658779.0927605</v>
      </c>
      <c r="K34" s="741">
        <f t="shared" si="5"/>
        <v>-114444369.35424028</v>
      </c>
      <c r="L34" s="741">
        <f t="shared" si="5"/>
        <v>-100000</v>
      </c>
      <c r="M34" s="741">
        <f t="shared" si="5"/>
        <v>-100000</v>
      </c>
    </row>
    <row r="35" spans="1:13" ht="11.25" customHeight="1" x14ac:dyDescent="0.15">
      <c r="A35" s="603" t="s">
        <v>6</v>
      </c>
      <c r="B35" s="604"/>
      <c r="C35" s="592">
        <f t="shared" ref="C35:L35" si="6">C14+C28</f>
        <v>-42340134.383743376</v>
      </c>
      <c r="D35" s="592">
        <f t="shared" si="6"/>
        <v>-165182627.44058469</v>
      </c>
      <c r="E35" s="592">
        <f t="shared" si="6"/>
        <v>-150428017.30172148</v>
      </c>
      <c r="F35" s="592">
        <f t="shared" si="6"/>
        <v>7219043.4335130937</v>
      </c>
      <c r="G35" s="750">
        <f t="shared" si="6"/>
        <v>-93010385.805878103</v>
      </c>
      <c r="H35" s="750">
        <f t="shared" si="6"/>
        <v>-69962500.690455928</v>
      </c>
      <c r="I35" s="750">
        <f t="shared" si="6"/>
        <v>37696874.309405074</v>
      </c>
      <c r="J35" s="741">
        <f t="shared" si="6"/>
        <v>-52311648.606262736</v>
      </c>
      <c r="K35" s="741">
        <f t="shared" si="6"/>
        <v>-59961446.258012556</v>
      </c>
      <c r="L35" s="741">
        <f t="shared" si="6"/>
        <v>69355701.457842737</v>
      </c>
      <c r="M35" s="741">
        <f>SUM(M31:M34)</f>
        <v>1306620985.3497353</v>
      </c>
    </row>
    <row r="36" spans="1:13" ht="11.25" customHeight="1" x14ac:dyDescent="0.15">
      <c r="A36" s="603" t="s">
        <v>84</v>
      </c>
      <c r="B36" s="604"/>
      <c r="C36" s="592">
        <f>Finance!B40</f>
        <v>-42340134.383743376</v>
      </c>
      <c r="D36" s="592">
        <f>Finance!C40</f>
        <v>-121426850.83020058</v>
      </c>
      <c r="E36" s="592">
        <f>Finance!D40</f>
        <v>-3766876.981416794</v>
      </c>
      <c r="F36" s="592">
        <f>Finance!E40</f>
        <v>20057388.902561706</v>
      </c>
      <c r="G36" s="750">
        <f>Finance!F40</f>
        <v>14341837.77675599</v>
      </c>
      <c r="H36" s="750">
        <f>Finance!G40</f>
        <v>16373638.566667356</v>
      </c>
      <c r="I36" s="750">
        <f>Finance!H40</f>
        <v>35255743.744207449</v>
      </c>
      <c r="J36" s="741">
        <f>Finance!I40</f>
        <v>30750709.420004148</v>
      </c>
      <c r="K36" s="741">
        <f>Finance!J40</f>
        <v>25878172.638636496</v>
      </c>
      <c r="L36" s="741">
        <f>Finance!K40</f>
        <v>40845701.000251502</v>
      </c>
      <c r="M36" s="741">
        <f>Finance!L40</f>
        <v>733053345.22373974</v>
      </c>
    </row>
    <row r="37" spans="1:13" ht="11.25" customHeight="1" x14ac:dyDescent="0.15">
      <c r="A37" s="603" t="s">
        <v>59</v>
      </c>
      <c r="B37" s="604"/>
      <c r="C37" s="592">
        <f>Finance!B27</f>
        <v>0</v>
      </c>
      <c r="D37" s="592">
        <f>Finance!C27</f>
        <v>0</v>
      </c>
      <c r="E37" s="592">
        <f>Finance!D27</f>
        <v>3766876.981416794</v>
      </c>
      <c r="F37" s="592">
        <f>Finance!E27</f>
        <v>4686955.2702288618</v>
      </c>
      <c r="G37" s="750">
        <f>Finance!F27</f>
        <v>10894930.879490396</v>
      </c>
      <c r="H37" s="750">
        <f>Finance!G27</f>
        <v>16282404.422680072</v>
      </c>
      <c r="I37" s="750">
        <f>Finance!H27</f>
        <v>17049335.164123692</v>
      </c>
      <c r="J37" s="741">
        <f>Finance!I27</f>
        <v>22596421.066493619</v>
      </c>
      <c r="K37" s="741">
        <f>Finance!J27</f>
        <v>28604750.457591232</v>
      </c>
      <c r="L37" s="741">
        <f>Finance!K27</f>
        <v>28610000.457591232</v>
      </c>
      <c r="M37" s="741">
        <f>Finance!L27</f>
        <v>573667640.12599564</v>
      </c>
    </row>
    <row r="38" spans="1:13" ht="11.25" customHeight="1" x14ac:dyDescent="0.15">
      <c r="A38" s="605" t="s">
        <v>239</v>
      </c>
      <c r="B38" s="605"/>
      <c r="C38" s="606">
        <f>C36+NPV(Assumptions!F40,'Summary Board'!D36:M36)</f>
        <v>226890166.07356617</v>
      </c>
      <c r="D38" s="606"/>
      <c r="E38" s="606"/>
      <c r="F38" s="606"/>
      <c r="G38" s="606"/>
      <c r="H38" s="606"/>
      <c r="I38" s="606"/>
      <c r="J38" s="606"/>
      <c r="K38" s="606"/>
      <c r="L38" s="606"/>
      <c r="M38" s="606"/>
    </row>
    <row r="39" spans="1:13" ht="11.25" customHeight="1" x14ac:dyDescent="0.15">
      <c r="A39" s="603" t="s">
        <v>60</v>
      </c>
      <c r="B39" s="607"/>
      <c r="C39" s="608">
        <f>'Sources &amp; Uses'!D5/'Summary Board'!M32</f>
        <v>0.42775130457004396</v>
      </c>
      <c r="D39" s="593"/>
      <c r="E39" s="594"/>
      <c r="F39" s="594"/>
      <c r="G39" s="605"/>
      <c r="H39" s="594"/>
      <c r="I39" s="594"/>
      <c r="J39" s="594"/>
      <c r="K39" s="594"/>
      <c r="L39" s="609"/>
      <c r="M39" s="594"/>
    </row>
    <row r="40" spans="1:13" ht="11.25" customHeight="1" x14ac:dyDescent="0.15">
      <c r="A40" s="607" t="s">
        <v>72</v>
      </c>
      <c r="B40" s="607"/>
      <c r="C40" s="610">
        <f>IRR(C35:M35)</f>
        <v>0.12459384266104645</v>
      </c>
      <c r="D40" s="593"/>
      <c r="E40" s="594"/>
      <c r="F40" s="756" t="s">
        <v>73</v>
      </c>
      <c r="G40" s="753"/>
      <c r="H40" s="757"/>
      <c r="I40" s="758">
        <f>SUM(Land!E14,Land!E28)</f>
        <v>28158450</v>
      </c>
      <c r="J40" s="594"/>
      <c r="K40" s="594"/>
      <c r="L40" s="611"/>
      <c r="M40" s="594"/>
    </row>
    <row r="41" spans="1:13" ht="11.25" customHeight="1" x14ac:dyDescent="0.15">
      <c r="A41" s="607" t="s">
        <v>67</v>
      </c>
      <c r="B41" s="607"/>
      <c r="C41" s="610">
        <f>Finance!B42</f>
        <v>0.23052636420190709</v>
      </c>
      <c r="D41" s="593"/>
      <c r="E41" s="594"/>
      <c r="F41" s="759" t="s">
        <v>74</v>
      </c>
      <c r="G41" s="751"/>
      <c r="H41" s="760"/>
      <c r="I41" s="758">
        <f>M32</f>
        <v>1274104822.5389028</v>
      </c>
      <c r="J41" s="594"/>
      <c r="K41" s="594"/>
      <c r="L41" s="611"/>
      <c r="M41" s="594"/>
    </row>
    <row r="42" spans="1:13" ht="11.25" customHeight="1" x14ac:dyDescent="0.15">
      <c r="A42" s="612"/>
      <c r="B42" s="612"/>
      <c r="C42" s="613"/>
      <c r="D42" s="612"/>
      <c r="E42" s="612"/>
      <c r="F42" s="612"/>
      <c r="G42" s="612"/>
      <c r="H42" s="612"/>
      <c r="I42" s="612"/>
      <c r="J42" s="612"/>
      <c r="K42" s="612"/>
      <c r="L42" s="612"/>
      <c r="M42" s="614"/>
    </row>
    <row r="43" spans="1:13" s="37" customFormat="1" ht="11.25" customHeight="1" x14ac:dyDescent="0.15">
      <c r="A43" s="732" t="s">
        <v>48</v>
      </c>
      <c r="B43" s="732"/>
      <c r="C43" s="733"/>
      <c r="D43" s="734"/>
      <c r="E43" s="734"/>
      <c r="F43" s="734"/>
      <c r="G43" s="734"/>
      <c r="H43" s="734"/>
      <c r="I43" s="734"/>
      <c r="J43" s="734"/>
      <c r="K43" s="734"/>
      <c r="L43" s="734"/>
      <c r="M43" s="734"/>
    </row>
    <row r="44" spans="1:13" ht="11.25" customHeight="1" x14ac:dyDescent="0.15">
      <c r="A44" s="612"/>
      <c r="B44" s="612"/>
      <c r="C44" s="613"/>
      <c r="D44" s="584" t="s">
        <v>29</v>
      </c>
      <c r="E44" s="585"/>
      <c r="F44" s="585"/>
      <c r="G44" s="585"/>
      <c r="H44" s="585"/>
      <c r="I44" s="585"/>
      <c r="J44" s="585"/>
      <c r="K44" s="585"/>
      <c r="L44" s="585"/>
      <c r="M44" s="585"/>
    </row>
    <row r="45" spans="1:13" s="39" customFormat="1" ht="11.25" customHeight="1" x14ac:dyDescent="0.15">
      <c r="A45" s="579"/>
      <c r="B45" s="579"/>
      <c r="C45" s="604" t="s">
        <v>22</v>
      </c>
      <c r="D45" s="581">
        <v>2020</v>
      </c>
      <c r="E45" s="580">
        <f t="shared" ref="E45:K45" si="7">D45+1</f>
        <v>2021</v>
      </c>
      <c r="F45" s="580">
        <f t="shared" si="7"/>
        <v>2022</v>
      </c>
      <c r="G45" s="580">
        <f t="shared" si="7"/>
        <v>2023</v>
      </c>
      <c r="H45" s="746">
        <f t="shared" si="7"/>
        <v>2024</v>
      </c>
      <c r="I45" s="746">
        <f t="shared" si="7"/>
        <v>2025</v>
      </c>
      <c r="J45" s="746">
        <f t="shared" si="7"/>
        <v>2026</v>
      </c>
      <c r="K45" s="737">
        <f t="shared" si="7"/>
        <v>2027</v>
      </c>
      <c r="L45" s="778">
        <f>K45+1</f>
        <v>2028</v>
      </c>
      <c r="M45" s="737">
        <f>L45+1</f>
        <v>2029</v>
      </c>
    </row>
    <row r="46" spans="1:13" ht="11.25" customHeight="1" x14ac:dyDescent="0.15">
      <c r="A46" s="582" t="s">
        <v>7</v>
      </c>
      <c r="B46" s="582"/>
      <c r="C46" s="615"/>
      <c r="D46" s="616"/>
      <c r="E46" s="615"/>
      <c r="F46" s="615"/>
      <c r="G46" s="615"/>
      <c r="H46" s="761"/>
      <c r="I46" s="761"/>
      <c r="J46" s="761"/>
      <c r="K46" s="785"/>
      <c r="L46" s="786"/>
      <c r="M46" s="785"/>
    </row>
    <row r="47" spans="1:13" ht="11.25" customHeight="1" x14ac:dyDescent="0.15">
      <c r="A47" s="691" t="s">
        <v>58</v>
      </c>
      <c r="B47" s="287" t="s">
        <v>49</v>
      </c>
      <c r="C47" s="589" t="s">
        <v>24</v>
      </c>
      <c r="D47" s="617">
        <f>'2.Market-rate Rental Housing'!C16</f>
        <v>0</v>
      </c>
      <c r="E47" s="618">
        <f>'2.Market-rate Rental Housing'!D16</f>
        <v>0</v>
      </c>
      <c r="F47" s="618">
        <f>'2.Market-rate Rental Housing'!E16</f>
        <v>0</v>
      </c>
      <c r="G47" s="618">
        <f>'2.Market-rate Rental Housing'!F16</f>
        <v>404.28201720112918</v>
      </c>
      <c r="H47" s="762">
        <f>'2.Market-rate Rental Housing'!G16</f>
        <v>404.28201720112918</v>
      </c>
      <c r="I47" s="762">
        <f>'2.Market-rate Rental Housing'!H16</f>
        <v>497.87319510623604</v>
      </c>
      <c r="J47" s="762">
        <f>'2.Market-rate Rental Housing'!I16</f>
        <v>915.22567174563915</v>
      </c>
      <c r="K47" s="787">
        <f>'2.Market-rate Rental Housing'!J16</f>
        <v>915.22567174563915</v>
      </c>
      <c r="L47" s="787">
        <f>'2.Market-rate Rental Housing'!K16</f>
        <v>915.22567174563915</v>
      </c>
      <c r="M47" s="787">
        <f>'2.Market-rate Rental Housing'!L16</f>
        <v>1288.866860656974</v>
      </c>
    </row>
    <row r="48" spans="1:13" ht="11.25" customHeight="1" x14ac:dyDescent="0.15">
      <c r="A48" s="692"/>
      <c r="B48" s="287" t="s">
        <v>50</v>
      </c>
      <c r="C48" s="589" t="s">
        <v>24</v>
      </c>
      <c r="D48" s="617"/>
      <c r="E48" s="589"/>
      <c r="F48" s="589"/>
      <c r="G48" s="589"/>
      <c r="H48" s="763"/>
      <c r="I48" s="763"/>
      <c r="J48" s="763"/>
      <c r="K48" s="788"/>
      <c r="L48" s="788"/>
      <c r="M48" s="788"/>
    </row>
    <row r="49" spans="1:13" ht="11.25" customHeight="1" x14ac:dyDescent="0.15">
      <c r="A49" s="691" t="s">
        <v>57</v>
      </c>
      <c r="B49" s="287" t="s">
        <v>49</v>
      </c>
      <c r="C49" s="589" t="s">
        <v>24</v>
      </c>
      <c r="D49" s="617">
        <f>'3. Affordable Rental Housing'!C16</f>
        <v>0</v>
      </c>
      <c r="E49" s="618">
        <f>'3. Affordable Rental Housing'!D16</f>
        <v>0</v>
      </c>
      <c r="F49" s="618">
        <f>'3. Affordable Rental Housing'!E16</f>
        <v>0</v>
      </c>
      <c r="G49" s="618">
        <f>'3. Affordable Rental Housing'!F16</f>
        <v>126.86739765394334</v>
      </c>
      <c r="H49" s="762">
        <f>'3. Affordable Rental Housing'!G16</f>
        <v>126.86739765394334</v>
      </c>
      <c r="I49" s="762">
        <f>'3. Affordable Rental Housing'!H16</f>
        <v>170.54942627057562</v>
      </c>
      <c r="J49" s="762">
        <f>'3. Affordable Rental Housing'!I16</f>
        <v>328.81468492051607</v>
      </c>
      <c r="K49" s="787">
        <f>'3. Affordable Rental Housing'!J16</f>
        <v>328.81468492051607</v>
      </c>
      <c r="L49" s="787">
        <f>'3. Affordable Rental Housing'!K16</f>
        <v>328.81468492051607</v>
      </c>
      <c r="M49" s="787">
        <f>'3. Affordable Rental Housing'!L16</f>
        <v>369.16907137681159</v>
      </c>
    </row>
    <row r="50" spans="1:13" ht="11.25" customHeight="1" x14ac:dyDescent="0.15">
      <c r="A50" s="692"/>
      <c r="B50" s="287" t="s">
        <v>50</v>
      </c>
      <c r="C50" s="589" t="s">
        <v>24</v>
      </c>
      <c r="D50" s="617"/>
      <c r="E50" s="589"/>
      <c r="F50" s="589"/>
      <c r="G50" s="589"/>
      <c r="H50" s="763"/>
      <c r="I50" s="763"/>
      <c r="J50" s="763"/>
      <c r="K50" s="788"/>
      <c r="L50" s="788"/>
      <c r="M50" s="788"/>
    </row>
    <row r="51" spans="1:13" ht="11.25" customHeight="1" x14ac:dyDescent="0.15">
      <c r="A51" s="656" t="s">
        <v>76</v>
      </c>
      <c r="B51" s="656"/>
      <c r="C51" s="589" t="s">
        <v>24</v>
      </c>
      <c r="D51" s="617"/>
      <c r="E51" s="589"/>
      <c r="F51" s="589"/>
      <c r="G51" s="589"/>
      <c r="H51" s="763"/>
      <c r="I51" s="763"/>
      <c r="J51" s="763"/>
      <c r="K51" s="788"/>
      <c r="L51" s="788"/>
      <c r="M51" s="788"/>
    </row>
    <row r="52" spans="1:13" ht="11.25" customHeight="1" x14ac:dyDescent="0.15">
      <c r="A52" s="656" t="s">
        <v>53</v>
      </c>
      <c r="B52" s="656"/>
      <c r="C52" s="589" t="s">
        <v>26</v>
      </c>
      <c r="D52" s="617">
        <f>'6. Hotel'!C15</f>
        <v>0</v>
      </c>
      <c r="E52" s="617">
        <f>'6. Hotel'!D15</f>
        <v>0</v>
      </c>
      <c r="F52" s="617">
        <f>'6. Hotel'!E15</f>
        <v>0</v>
      </c>
      <c r="G52" s="618">
        <f>'6. Hotel'!F15</f>
        <v>372.03911111111114</v>
      </c>
      <c r="H52" s="762">
        <f>'6. Hotel'!G15</f>
        <v>372.03911111111114</v>
      </c>
      <c r="I52" s="762">
        <f>'6. Hotel'!H15</f>
        <v>372.03911111111114</v>
      </c>
      <c r="J52" s="762">
        <f>'6. Hotel'!I15</f>
        <v>417.1057777777778</v>
      </c>
      <c r="K52" s="787">
        <f>'6. Hotel'!J15</f>
        <v>417.1057777777778</v>
      </c>
      <c r="L52" s="787">
        <f>'6. Hotel'!K15</f>
        <v>417.1057777777778</v>
      </c>
      <c r="M52" s="787">
        <f>'6. Hotel'!L15</f>
        <v>417.1057777777778</v>
      </c>
    </row>
    <row r="53" spans="1:13" ht="11.25" customHeight="1" x14ac:dyDescent="0.15">
      <c r="A53" s="656" t="s">
        <v>54</v>
      </c>
      <c r="B53" s="656"/>
      <c r="C53" s="589" t="s">
        <v>27</v>
      </c>
      <c r="D53" s="617"/>
      <c r="E53" s="589"/>
      <c r="F53" s="589"/>
      <c r="G53" s="589"/>
      <c r="H53" s="763"/>
      <c r="I53" s="763"/>
      <c r="J53" s="763"/>
      <c r="K53" s="788"/>
      <c r="L53" s="788"/>
      <c r="M53" s="788"/>
    </row>
    <row r="54" spans="1:13" ht="11.25" customHeight="1" x14ac:dyDescent="0.15">
      <c r="A54" s="656" t="s">
        <v>55</v>
      </c>
      <c r="B54" s="656"/>
      <c r="C54" s="589" t="s">
        <v>27</v>
      </c>
      <c r="D54" s="619">
        <f>'7. Surface Parking'!C12</f>
        <v>0</v>
      </c>
      <c r="E54" s="619">
        <f>'7. Surface Parking'!D12</f>
        <v>0</v>
      </c>
      <c r="F54" s="619">
        <f>'7. Surface Parking'!E12</f>
        <v>0</v>
      </c>
      <c r="G54" s="619">
        <f>'7. Surface Parking'!F12</f>
        <v>76</v>
      </c>
      <c r="H54" s="764">
        <f>'7. Surface Parking'!G12</f>
        <v>0</v>
      </c>
      <c r="I54" s="764">
        <f>'7. Surface Parking'!H12</f>
        <v>0</v>
      </c>
      <c r="J54" s="764">
        <f>'7. Surface Parking'!I12</f>
        <v>49</v>
      </c>
      <c r="K54" s="789">
        <f>'7. Surface Parking'!J12</f>
        <v>0</v>
      </c>
      <c r="L54" s="789">
        <f>'7. Surface Parking'!K12</f>
        <v>45</v>
      </c>
      <c r="M54" s="789">
        <f>'7. Surface Parking'!L12</f>
        <v>0</v>
      </c>
    </row>
    <row r="55" spans="1:13" ht="11.25" customHeight="1" x14ac:dyDescent="0.15">
      <c r="A55" s="702" t="s">
        <v>32</v>
      </c>
      <c r="B55" s="702"/>
      <c r="C55" s="620"/>
      <c r="D55" s="621"/>
      <c r="E55" s="620"/>
      <c r="F55" s="620"/>
      <c r="G55" s="620"/>
      <c r="H55" s="765"/>
      <c r="I55" s="765"/>
      <c r="J55" s="765"/>
      <c r="K55" s="790"/>
      <c r="L55" s="790"/>
      <c r="M55" s="790"/>
    </row>
    <row r="56" spans="1:13" ht="11.25" customHeight="1" x14ac:dyDescent="0.15">
      <c r="A56" s="582" t="s">
        <v>23</v>
      </c>
      <c r="B56" s="582"/>
      <c r="C56" s="615"/>
      <c r="D56" s="616"/>
      <c r="E56" s="615"/>
      <c r="F56" s="615"/>
      <c r="G56" s="615"/>
      <c r="H56" s="761"/>
      <c r="I56" s="761"/>
      <c r="J56" s="761"/>
      <c r="K56" s="785"/>
      <c r="L56" s="785"/>
      <c r="M56" s="785"/>
    </row>
    <row r="57" spans="1:13" ht="11.25" customHeight="1" x14ac:dyDescent="0.15">
      <c r="A57" s="691" t="s">
        <v>58</v>
      </c>
      <c r="B57" s="287" t="s">
        <v>49</v>
      </c>
      <c r="C57" s="589" t="s">
        <v>25</v>
      </c>
      <c r="D57" s="618">
        <f>'2.Market-rate Rental Housing'!C15</f>
        <v>0</v>
      </c>
      <c r="E57" s="618">
        <f>'2.Market-rate Rental Housing'!D15</f>
        <v>194107.57989441903</v>
      </c>
      <c r="F57" s="618">
        <f>'2.Market-rate Rental Housing'!E15</f>
        <v>388215.15978883806</v>
      </c>
      <c r="G57" s="618">
        <f>'2.Market-rate Rental Housing'!F15</f>
        <v>388215.15978883806</v>
      </c>
      <c r="H57" s="762">
        <f>'2.Market-rate Rental Housing'!G15</f>
        <v>548209.39010649489</v>
      </c>
      <c r="I57" s="762">
        <f>'2.Market-rate Rental Housing'!H15</f>
        <v>708203.62042415165</v>
      </c>
      <c r="J57" s="762">
        <f>'2.Market-rate Rental Housing'!I15</f>
        <v>708203.62042415165</v>
      </c>
      <c r="K57" s="787">
        <f>'2.Market-rate Rental Housing'!J15</f>
        <v>922855.59417040914</v>
      </c>
      <c r="L57" s="787">
        <f>'2.Market-rate Rental Housing'!K15</f>
        <v>1137507.5679166666</v>
      </c>
      <c r="M57" s="787">
        <f>'2.Market-rate Rental Housing'!L15</f>
        <v>1137507.5679166666</v>
      </c>
    </row>
    <row r="58" spans="1:13" ht="11.25" customHeight="1" x14ac:dyDescent="0.15">
      <c r="A58" s="692"/>
      <c r="B58" s="287" t="s">
        <v>50</v>
      </c>
      <c r="C58" s="589" t="s">
        <v>25</v>
      </c>
      <c r="D58" s="617"/>
      <c r="E58" s="589"/>
      <c r="F58" s="589"/>
      <c r="G58" s="589"/>
      <c r="H58" s="763"/>
      <c r="I58" s="763"/>
      <c r="J58" s="763"/>
      <c r="K58" s="788"/>
      <c r="L58" s="788"/>
      <c r="M58" s="788"/>
    </row>
    <row r="59" spans="1:13" ht="11.25" customHeight="1" x14ac:dyDescent="0.15">
      <c r="A59" s="691" t="s">
        <v>57</v>
      </c>
      <c r="B59" s="287" t="s">
        <v>49</v>
      </c>
      <c r="C59" s="589" t="s">
        <v>25</v>
      </c>
      <c r="D59" s="618">
        <f>'3. Affordable Rental Housing'!C15</f>
        <v>0</v>
      </c>
      <c r="E59" s="618">
        <f>'3. Affordable Rental Housing'!D15</f>
        <v>98065.920105580968</v>
      </c>
      <c r="F59" s="618">
        <f>'3. Affordable Rental Housing'!E15</f>
        <v>196131.84021116194</v>
      </c>
      <c r="G59" s="618">
        <f>'3. Affordable Rental Housing'!F15</f>
        <v>196131.84021116194</v>
      </c>
      <c r="H59" s="762">
        <f>'3. Affordable Rental Housing'!G15</f>
        <v>255936.10989350514</v>
      </c>
      <c r="I59" s="762">
        <f>'3. Affordable Rental Housing'!H15</f>
        <v>315740.37957584835</v>
      </c>
      <c r="J59" s="762">
        <f>'3. Affordable Rental Housing'!I15</f>
        <v>315740.37957584835</v>
      </c>
      <c r="K59" s="787">
        <f>'3. Affordable Rental Housing'!J15</f>
        <v>370142.40582959086</v>
      </c>
      <c r="L59" s="787">
        <f>'3. Affordable Rental Housing'!K15</f>
        <v>424544.43208333338</v>
      </c>
      <c r="M59" s="787">
        <f>'3. Affordable Rental Housing'!L15</f>
        <v>424544.43208333338</v>
      </c>
    </row>
    <row r="60" spans="1:13" ht="11.25" customHeight="1" x14ac:dyDescent="0.15">
      <c r="A60" s="692"/>
      <c r="B60" s="287" t="s">
        <v>50</v>
      </c>
      <c r="C60" s="589" t="s">
        <v>25</v>
      </c>
      <c r="D60" s="617"/>
      <c r="E60" s="589"/>
      <c r="F60" s="589"/>
      <c r="G60" s="589"/>
      <c r="H60" s="763"/>
      <c r="I60" s="763"/>
      <c r="J60" s="763"/>
      <c r="K60" s="788"/>
      <c r="L60" s="788"/>
      <c r="M60" s="788"/>
    </row>
    <row r="61" spans="1:13" ht="11.25" customHeight="1" x14ac:dyDescent="0.15">
      <c r="A61" s="656" t="s">
        <v>51</v>
      </c>
      <c r="B61" s="656"/>
      <c r="C61" s="589" t="s">
        <v>25</v>
      </c>
      <c r="D61" s="618">
        <f>'4. Office'!C13</f>
        <v>0</v>
      </c>
      <c r="E61" s="618">
        <f>'4. Office'!D13</f>
        <v>208455.48749999999</v>
      </c>
      <c r="F61" s="618">
        <f>'4. Office'!E13</f>
        <v>416910.97499999998</v>
      </c>
      <c r="G61" s="618">
        <f>'4. Office'!F13</f>
        <v>416910.97499999998</v>
      </c>
      <c r="H61" s="762">
        <f>'4. Office'!G13</f>
        <v>522104.21249999997</v>
      </c>
      <c r="I61" s="762">
        <f>'4. Office'!H13</f>
        <v>627297.44999999995</v>
      </c>
      <c r="J61" s="762">
        <f>'4. Office'!I13</f>
        <v>627297.44999999995</v>
      </c>
      <c r="K61" s="787">
        <f>'4. Office'!J13</f>
        <v>715663.875</v>
      </c>
      <c r="L61" s="787">
        <f>'4. Office'!K13</f>
        <v>804030.3</v>
      </c>
      <c r="M61" s="787">
        <f>'4. Office'!L13</f>
        <v>804030.3</v>
      </c>
    </row>
    <row r="62" spans="1:13" ht="11.25" customHeight="1" x14ac:dyDescent="0.15">
      <c r="A62" s="656" t="s">
        <v>78</v>
      </c>
      <c r="B62" s="656"/>
      <c r="C62" s="589" t="s">
        <v>25</v>
      </c>
      <c r="D62" s="618">
        <f>'5. Retail'!C13</f>
        <v>0</v>
      </c>
      <c r="E62" s="618">
        <f>'5. Retail'!D13</f>
        <v>55353.548372949896</v>
      </c>
      <c r="F62" s="618">
        <f>'5. Retail'!E13</f>
        <v>110707.09674589979</v>
      </c>
      <c r="G62" s="618">
        <f>'5. Retail'!F13</f>
        <v>110707.09674589979</v>
      </c>
      <c r="H62" s="762">
        <f>'5. Retail'!G13</f>
        <v>213990.09674589979</v>
      </c>
      <c r="I62" s="762">
        <f>'5. Retail'!H13</f>
        <v>317273.09674589976</v>
      </c>
      <c r="J62" s="762">
        <f>'5. Retail'!I13</f>
        <v>317273.09674589976</v>
      </c>
      <c r="K62" s="787">
        <f>'5. Retail'!J13</f>
        <v>381636.09674589976</v>
      </c>
      <c r="L62" s="787">
        <f>'5. Retail'!K13</f>
        <v>445999.09674589976</v>
      </c>
      <c r="M62" s="787">
        <f>'5. Retail'!L13</f>
        <v>445999.09674589976</v>
      </c>
    </row>
    <row r="63" spans="1:13" ht="11.25" customHeight="1" x14ac:dyDescent="0.15">
      <c r="A63" s="287"/>
      <c r="B63" s="287" t="s">
        <v>76</v>
      </c>
      <c r="C63" s="589" t="s">
        <v>25</v>
      </c>
      <c r="D63" s="622"/>
      <c r="E63" s="623"/>
      <c r="F63" s="623"/>
      <c r="G63" s="623"/>
      <c r="H63" s="766"/>
      <c r="I63" s="766"/>
      <c r="J63" s="766"/>
      <c r="K63" s="791"/>
      <c r="L63" s="788"/>
      <c r="M63" s="791"/>
    </row>
    <row r="64" spans="1:13" ht="11.25" customHeight="1" x14ac:dyDescent="0.15">
      <c r="A64" s="656" t="s">
        <v>53</v>
      </c>
      <c r="B64" s="656"/>
      <c r="C64" s="589" t="s">
        <v>25</v>
      </c>
      <c r="D64" s="618">
        <f>'6. Hotel'!C13</f>
        <v>0</v>
      </c>
      <c r="E64" s="618">
        <f>'6. Hotel'!D13</f>
        <v>83708.800000000003</v>
      </c>
      <c r="F64" s="618">
        <f>'6. Hotel'!E13</f>
        <v>167417.60000000001</v>
      </c>
      <c r="G64" s="618">
        <f>'6. Hotel'!F13</f>
        <v>167417.60000000001</v>
      </c>
      <c r="H64" s="762">
        <f>'6. Hotel'!G13</f>
        <v>177557.6</v>
      </c>
      <c r="I64" s="762">
        <f>'6. Hotel'!H13</f>
        <v>187697.6</v>
      </c>
      <c r="J64" s="762">
        <f>'6. Hotel'!I13</f>
        <v>187697.6</v>
      </c>
      <c r="K64" s="787">
        <f>'6. Hotel'!J13</f>
        <v>187697.6</v>
      </c>
      <c r="L64" s="787">
        <f>'6. Hotel'!K13</f>
        <v>187697.6</v>
      </c>
      <c r="M64" s="787">
        <f>'6. Hotel'!L13</f>
        <v>187697.6</v>
      </c>
    </row>
    <row r="65" spans="1:14" ht="11.25" customHeight="1" x14ac:dyDescent="0.15">
      <c r="A65" s="656" t="s">
        <v>54</v>
      </c>
      <c r="B65" s="656"/>
      <c r="C65" s="589" t="s">
        <v>25</v>
      </c>
      <c r="D65" s="617"/>
      <c r="E65" s="589"/>
      <c r="F65" s="589"/>
      <c r="G65" s="589"/>
      <c r="H65" s="763"/>
      <c r="I65" s="763"/>
      <c r="J65" s="763"/>
      <c r="K65" s="788"/>
      <c r="L65" s="788"/>
      <c r="M65" s="788"/>
    </row>
    <row r="66" spans="1:14" ht="11.25" customHeight="1" x14ac:dyDescent="0.15">
      <c r="A66" s="656" t="s">
        <v>55</v>
      </c>
      <c r="B66" s="656"/>
      <c r="C66" s="589" t="s">
        <v>25</v>
      </c>
      <c r="D66" s="618">
        <f>'7. Surface Parking'!C10</f>
        <v>0</v>
      </c>
      <c r="E66" s="618">
        <f>'7. Surface Parking'!D10</f>
        <v>11530</v>
      </c>
      <c r="F66" s="618">
        <f>'7. Surface Parking'!E10</f>
        <v>11530</v>
      </c>
      <c r="G66" s="618">
        <f>'7. Surface Parking'!F10</f>
        <v>0</v>
      </c>
      <c r="H66" s="762">
        <f>'7. Surface Parking'!G10</f>
        <v>7366.5</v>
      </c>
      <c r="I66" s="762">
        <f>'7. Surface Parking'!H10</f>
        <v>7366.5</v>
      </c>
      <c r="J66" s="762">
        <f>'7. Surface Parking'!I10</f>
        <v>0</v>
      </c>
      <c r="K66" s="787">
        <f>'7. Surface Parking'!J10</f>
        <v>6829.5</v>
      </c>
      <c r="L66" s="787">
        <f>'7. Surface Parking'!K10</f>
        <v>6829.5</v>
      </c>
      <c r="M66" s="787">
        <f>'7. Surface Parking'!L10</f>
        <v>0</v>
      </c>
    </row>
    <row r="67" spans="1:14" ht="11.25" customHeight="1" x14ac:dyDescent="0.15">
      <c r="A67" s="702" t="s">
        <v>32</v>
      </c>
      <c r="B67" s="702"/>
      <c r="C67" s="624" t="s">
        <v>25</v>
      </c>
      <c r="D67" s="617"/>
      <c r="E67" s="589"/>
      <c r="F67" s="589"/>
      <c r="G67" s="589"/>
      <c r="H67" s="763"/>
      <c r="I67" s="763"/>
      <c r="J67" s="763"/>
      <c r="K67" s="788"/>
      <c r="L67" s="788"/>
      <c r="M67" s="788"/>
    </row>
    <row r="68" spans="1:14" ht="11.25" customHeight="1" x14ac:dyDescent="0.15">
      <c r="A68" s="703" t="s">
        <v>28</v>
      </c>
      <c r="B68" s="703"/>
      <c r="C68" s="579" t="s">
        <v>25</v>
      </c>
      <c r="D68" s="625">
        <f>SUM(D57:D67)</f>
        <v>0</v>
      </c>
      <c r="E68" s="625">
        <f t="shared" ref="E68:M68" si="8">SUM(E57:E67)</f>
        <v>651221.33587294992</v>
      </c>
      <c r="F68" s="625">
        <f t="shared" si="8"/>
        <v>1290912.6717458998</v>
      </c>
      <c r="G68" s="625">
        <f t="shared" si="8"/>
        <v>1279382.6717458998</v>
      </c>
      <c r="H68" s="767">
        <f t="shared" si="8"/>
        <v>1725163.9092458999</v>
      </c>
      <c r="I68" s="767">
        <f t="shared" si="8"/>
        <v>2163578.6467458997</v>
      </c>
      <c r="J68" s="767">
        <f t="shared" si="8"/>
        <v>2156212.1467458997</v>
      </c>
      <c r="K68" s="792">
        <f t="shared" si="8"/>
        <v>2584825.0717459</v>
      </c>
      <c r="L68" s="792">
        <f t="shared" si="8"/>
        <v>3006608.4967458998</v>
      </c>
      <c r="M68" s="792">
        <f t="shared" si="8"/>
        <v>2999778.9967458998</v>
      </c>
    </row>
    <row r="69" spans="1:14" ht="11.25" customHeight="1" x14ac:dyDescent="0.15">
      <c r="A69" s="612"/>
      <c r="B69" s="612"/>
      <c r="C69" s="613"/>
      <c r="D69" s="612"/>
      <c r="E69" s="612"/>
      <c r="F69" s="612"/>
      <c r="G69" s="612"/>
      <c r="H69" s="612"/>
      <c r="I69" s="612"/>
      <c r="J69" s="612"/>
      <c r="K69" s="612"/>
      <c r="L69" s="612"/>
      <c r="M69" s="612"/>
    </row>
    <row r="70" spans="1:14" s="37" customFormat="1" ht="11.25" customHeight="1" x14ac:dyDescent="0.15">
      <c r="A70" s="735" t="s">
        <v>61</v>
      </c>
      <c r="B70" s="735"/>
      <c r="C70" s="733"/>
      <c r="D70" s="733"/>
      <c r="E70" s="733"/>
      <c r="F70" s="733"/>
      <c r="G70" s="626"/>
      <c r="H70" s="732" t="s">
        <v>62</v>
      </c>
      <c r="I70" s="734"/>
      <c r="J70" s="734"/>
      <c r="K70" s="734"/>
      <c r="L70" s="734"/>
      <c r="M70" s="734"/>
    </row>
    <row r="71" spans="1:14" s="40" customFormat="1" ht="11.25" customHeight="1" x14ac:dyDescent="0.15">
      <c r="A71" s="699" t="s">
        <v>188</v>
      </c>
      <c r="B71" s="699"/>
      <c r="C71" s="675" t="s">
        <v>66</v>
      </c>
      <c r="D71" s="676"/>
      <c r="E71" s="675" t="s">
        <v>33</v>
      </c>
      <c r="F71" s="676"/>
      <c r="G71" s="627"/>
      <c r="H71" s="700"/>
      <c r="I71" s="701"/>
      <c r="J71" s="701"/>
      <c r="K71" s="675" t="s">
        <v>63</v>
      </c>
      <c r="L71" s="675"/>
      <c r="M71" s="628"/>
    </row>
    <row r="72" spans="1:14" ht="11.25" customHeight="1" x14ac:dyDescent="0.15">
      <c r="A72" s="694" t="s">
        <v>58</v>
      </c>
      <c r="B72" s="629" t="s">
        <v>49</v>
      </c>
      <c r="C72" s="630">
        <f>E72/'2.Market-rate Rental Housing'!J6</f>
        <v>212768.46348004162</v>
      </c>
      <c r="D72" s="631" t="s">
        <v>296</v>
      </c>
      <c r="E72" s="695">
        <f>-SUM(C17:M17)</f>
        <v>274230221.57232928</v>
      </c>
      <c r="F72" s="696"/>
      <c r="G72" s="612"/>
      <c r="H72" s="697" t="s">
        <v>64</v>
      </c>
      <c r="I72" s="668"/>
      <c r="J72" s="668"/>
      <c r="K72" s="578"/>
      <c r="L72" s="578"/>
      <c r="M72" s="632"/>
    </row>
    <row r="73" spans="1:14" ht="11.25" customHeight="1" x14ac:dyDescent="0.15">
      <c r="A73" s="692"/>
      <c r="B73" s="287" t="s">
        <v>50</v>
      </c>
      <c r="C73" s="630"/>
      <c r="D73" s="597"/>
      <c r="E73" s="662"/>
      <c r="F73" s="658"/>
      <c r="G73" s="612"/>
      <c r="H73" s="698" t="s">
        <v>56</v>
      </c>
      <c r="I73" s="660"/>
      <c r="J73" s="660"/>
      <c r="K73" s="663">
        <f>'Sources &amp; Uses'!D8</f>
        <v>163766985.21394396</v>
      </c>
      <c r="L73" s="661"/>
      <c r="M73" s="633"/>
    </row>
    <row r="74" spans="1:14" ht="11.25" customHeight="1" x14ac:dyDescent="0.15">
      <c r="A74" s="588" t="s">
        <v>80</v>
      </c>
      <c r="B74" s="287" t="s">
        <v>49</v>
      </c>
      <c r="C74" s="630"/>
      <c r="D74" s="597"/>
      <c r="E74" s="634"/>
      <c r="F74" s="634"/>
      <c r="G74" s="612"/>
      <c r="H74" s="635"/>
      <c r="I74" s="636"/>
      <c r="J74" s="636"/>
      <c r="K74" s="637"/>
      <c r="L74" s="638"/>
      <c r="M74" s="633"/>
    </row>
    <row r="75" spans="1:14" ht="11.25" customHeight="1" x14ac:dyDescent="0.15">
      <c r="A75" s="691" t="s">
        <v>57</v>
      </c>
      <c r="B75" s="287" t="s">
        <v>49</v>
      </c>
      <c r="C75" s="630">
        <f>E75/'3. Affordable Rental Housing'!J6</f>
        <v>95644.520805715423</v>
      </c>
      <c r="D75" s="631" t="s">
        <v>296</v>
      </c>
      <c r="E75" s="657">
        <f>-SUM(C18:M18)</f>
        <v>35308998.928126097</v>
      </c>
      <c r="F75" s="657"/>
      <c r="G75" s="612"/>
      <c r="H75" s="693"/>
      <c r="I75" s="679"/>
      <c r="J75" s="679"/>
      <c r="K75" s="661"/>
      <c r="L75" s="661"/>
      <c r="M75" s="633"/>
    </row>
    <row r="76" spans="1:14" ht="11.25" customHeight="1" x14ac:dyDescent="0.15">
      <c r="A76" s="692"/>
      <c r="B76" s="287" t="s">
        <v>50</v>
      </c>
      <c r="C76" s="630"/>
      <c r="D76" s="597"/>
      <c r="E76" s="662"/>
      <c r="F76" s="658"/>
      <c r="G76" s="612"/>
      <c r="H76" s="693"/>
      <c r="I76" s="679"/>
      <c r="J76" s="679"/>
      <c r="K76" s="661"/>
      <c r="L76" s="661"/>
      <c r="M76" s="633"/>
    </row>
    <row r="77" spans="1:14" ht="11.25" customHeight="1" x14ac:dyDescent="0.15">
      <c r="A77" s="656" t="s">
        <v>51</v>
      </c>
      <c r="B77" s="656"/>
      <c r="C77" s="630">
        <f>E77/'4. Office'!E4</f>
        <v>295.3827068624949</v>
      </c>
      <c r="D77" s="631" t="s">
        <v>126</v>
      </c>
      <c r="E77" s="657">
        <f>-SUM(C19:M19)</f>
        <v>237496646.41346383</v>
      </c>
      <c r="F77" s="658"/>
      <c r="G77" s="612"/>
      <c r="H77" s="664"/>
      <c r="I77" s="665"/>
      <c r="J77" s="665"/>
      <c r="K77" s="666"/>
      <c r="L77" s="666"/>
      <c r="M77" s="639"/>
    </row>
    <row r="78" spans="1:14" ht="11.25" customHeight="1" x14ac:dyDescent="0.15">
      <c r="A78" s="656" t="s">
        <v>77</v>
      </c>
      <c r="B78" s="656"/>
      <c r="C78" s="630">
        <f>E78/'5. Retail'!E4</f>
        <v>161.31147078866178</v>
      </c>
      <c r="D78" s="631" t="s">
        <v>126</v>
      </c>
      <c r="E78" s="657">
        <f>-SUM(C20:M20)</f>
        <v>71944770.266495749</v>
      </c>
      <c r="F78" s="658"/>
      <c r="G78" s="612"/>
      <c r="H78" s="667" t="s">
        <v>65</v>
      </c>
      <c r="I78" s="668"/>
      <c r="J78" s="668"/>
      <c r="K78" s="669"/>
      <c r="L78" s="669"/>
      <c r="M78" s="638"/>
    </row>
    <row r="79" spans="1:14" ht="11.25" customHeight="1" x14ac:dyDescent="0.15">
      <c r="A79" s="656" t="s">
        <v>53</v>
      </c>
      <c r="B79" s="656"/>
      <c r="C79" s="630">
        <f>E79/'6. Hotel'!I4</f>
        <v>102554.50541764835</v>
      </c>
      <c r="D79" s="631" t="s">
        <v>298</v>
      </c>
      <c r="E79" s="657">
        <f>-SUM(C21:M21)</f>
        <v>42776076.746843547</v>
      </c>
      <c r="F79" s="658"/>
      <c r="G79" s="612"/>
      <c r="H79" s="659" t="s">
        <v>238</v>
      </c>
      <c r="I79" s="660"/>
      <c r="J79" s="660"/>
      <c r="K79" s="663">
        <f>'Sources &amp; Uses'!D5</f>
        <v>545000000</v>
      </c>
      <c r="L79" s="661"/>
      <c r="M79" s="633"/>
    </row>
    <row r="80" spans="1:14" ht="11.25" customHeight="1" x14ac:dyDescent="0.15">
      <c r="A80" s="656" t="s">
        <v>54</v>
      </c>
      <c r="B80" s="656"/>
      <c r="C80" s="597"/>
      <c r="D80" s="597"/>
      <c r="E80" s="662"/>
      <c r="F80" s="658"/>
      <c r="G80" s="612"/>
      <c r="H80" s="659" t="s">
        <v>224</v>
      </c>
      <c r="I80" s="660"/>
      <c r="J80" s="660"/>
      <c r="K80" s="663">
        <f>'Sources &amp; Uses'!D6</f>
        <v>67242980</v>
      </c>
      <c r="L80" s="661"/>
      <c r="M80" s="633"/>
      <c r="N80" s="573"/>
    </row>
    <row r="81" spans="1:13" ht="11.25" customHeight="1" x14ac:dyDescent="0.15">
      <c r="A81" s="656" t="s">
        <v>55</v>
      </c>
      <c r="B81" s="656"/>
      <c r="C81" s="630">
        <f>E81/'7. Surface Parking'!I3</f>
        <v>16385.340074464275</v>
      </c>
      <c r="D81" s="631" t="s">
        <v>297</v>
      </c>
      <c r="E81" s="657">
        <f>-SUM(C22:M22)</f>
        <v>2785507.8126589265</v>
      </c>
      <c r="F81" s="658"/>
      <c r="G81" s="612"/>
      <c r="H81" s="659"/>
      <c r="I81" s="660"/>
      <c r="J81" s="660"/>
      <c r="K81" s="661"/>
      <c r="L81" s="661"/>
      <c r="M81" s="633"/>
    </row>
    <row r="82" spans="1:13" ht="11.25" customHeight="1" x14ac:dyDescent="0.15">
      <c r="A82" s="607"/>
      <c r="B82" s="604" t="s">
        <v>213</v>
      </c>
      <c r="C82" s="670"/>
      <c r="D82" s="665"/>
      <c r="E82" s="671">
        <f>SUM(E72:F81)</f>
        <v>664542221.7399174</v>
      </c>
      <c r="F82" s="672"/>
      <c r="G82" s="612"/>
      <c r="H82" s="659"/>
      <c r="I82" s="660"/>
      <c r="J82" s="660"/>
      <c r="K82" s="661"/>
      <c r="L82" s="661"/>
      <c r="M82" s="633"/>
    </row>
    <row r="83" spans="1:13" ht="11.25" customHeight="1" x14ac:dyDescent="0.15">
      <c r="A83" s="598" t="s">
        <v>14</v>
      </c>
      <c r="B83" s="598"/>
      <c r="C83" s="678"/>
      <c r="D83" s="678"/>
      <c r="E83" s="675" t="s">
        <v>33</v>
      </c>
      <c r="F83" s="676"/>
      <c r="G83" s="612"/>
      <c r="H83" s="659"/>
      <c r="I83" s="660"/>
      <c r="J83" s="660"/>
      <c r="K83" s="661"/>
      <c r="L83" s="661"/>
      <c r="M83" s="633"/>
    </row>
    <row r="84" spans="1:13" ht="11.25" customHeight="1" x14ac:dyDescent="0.15">
      <c r="A84" s="591"/>
      <c r="B84" s="287" t="s">
        <v>295</v>
      </c>
      <c r="C84" s="673"/>
      <c r="D84" s="673"/>
      <c r="E84" s="657">
        <f>-SUM('1.Infrastructure Costs'!D16:N16)</f>
        <v>73071789.31326434</v>
      </c>
      <c r="F84" s="658"/>
      <c r="G84" s="612"/>
      <c r="H84" s="659"/>
      <c r="I84" s="660"/>
      <c r="J84" s="660"/>
      <c r="K84" s="674"/>
      <c r="L84" s="674"/>
      <c r="M84" s="640"/>
    </row>
    <row r="85" spans="1:13" ht="11.25" customHeight="1" x14ac:dyDescent="0.15">
      <c r="A85" s="591"/>
      <c r="B85" s="287" t="s">
        <v>286</v>
      </c>
      <c r="C85" s="677"/>
      <c r="D85" s="677"/>
      <c r="E85" s="657">
        <f>-SUM('1.Infrastructure Costs'!D18:N18)</f>
        <v>17500000</v>
      </c>
      <c r="F85" s="658"/>
      <c r="G85" s="612"/>
      <c r="H85" s="680" t="s">
        <v>75</v>
      </c>
      <c r="I85" s="681"/>
      <c r="J85" s="681"/>
      <c r="K85" s="669"/>
      <c r="L85" s="669"/>
      <c r="M85" s="632"/>
    </row>
    <row r="86" spans="1:13" ht="11.25" customHeight="1" x14ac:dyDescent="0.15">
      <c r="A86" s="591"/>
      <c r="B86" s="287" t="s">
        <v>83</v>
      </c>
      <c r="C86" s="677"/>
      <c r="D86" s="677"/>
      <c r="E86" s="657">
        <f>-SUM('1.Infrastructure Costs'!D19:N19)</f>
        <v>0</v>
      </c>
      <c r="F86" s="658"/>
      <c r="G86" s="612"/>
      <c r="H86" s="659" t="s">
        <v>225</v>
      </c>
      <c r="I86" s="660"/>
      <c r="J86" s="660"/>
      <c r="K86" s="663">
        <f>'Sources &amp; Uses'!D7</f>
        <v>55190776.170833334</v>
      </c>
      <c r="L86" s="661"/>
      <c r="M86" s="633"/>
    </row>
    <row r="87" spans="1:13" ht="11.25" customHeight="1" x14ac:dyDescent="0.15">
      <c r="A87" s="591"/>
      <c r="B87" s="287" t="s">
        <v>287</v>
      </c>
      <c r="C87" s="641"/>
      <c r="D87" s="641"/>
      <c r="E87" s="657">
        <f>-SUM('1.Infrastructure Costs'!D20:N20)</f>
        <v>1350000</v>
      </c>
      <c r="F87" s="658"/>
      <c r="G87" s="612"/>
      <c r="H87" s="642"/>
      <c r="I87" s="643"/>
      <c r="J87" s="643"/>
      <c r="K87" s="644"/>
      <c r="L87" s="633"/>
      <c r="M87" s="633"/>
    </row>
    <row r="88" spans="1:13" ht="11.25" customHeight="1" x14ac:dyDescent="0.15">
      <c r="A88" s="591"/>
      <c r="B88" s="287" t="s">
        <v>288</v>
      </c>
      <c r="C88" s="677"/>
      <c r="D88" s="677"/>
      <c r="E88" s="657">
        <f>-SUM('1.Infrastructure Costs'!D21:N21)</f>
        <v>1010000</v>
      </c>
      <c r="F88" s="658"/>
      <c r="G88" s="612"/>
      <c r="H88" s="656"/>
      <c r="I88" s="679"/>
      <c r="J88" s="679"/>
      <c r="K88" s="661"/>
      <c r="L88" s="661"/>
      <c r="M88" s="633"/>
    </row>
    <row r="89" spans="1:13" ht="11.25" customHeight="1" x14ac:dyDescent="0.15">
      <c r="A89" s="645"/>
      <c r="B89" s="646" t="s">
        <v>31</v>
      </c>
      <c r="C89" s="688"/>
      <c r="D89" s="688"/>
      <c r="E89" s="657">
        <f>SUM(E84:F88)</f>
        <v>92931789.31326434</v>
      </c>
      <c r="F89" s="658"/>
      <c r="G89" s="612"/>
      <c r="H89" s="656"/>
      <c r="I89" s="679"/>
      <c r="J89" s="679"/>
      <c r="K89" s="612"/>
      <c r="L89" s="612"/>
      <c r="M89" s="633"/>
    </row>
    <row r="90" spans="1:13" ht="11.25" customHeight="1" thickBot="1" x14ac:dyDescent="0.2">
      <c r="A90" s="607"/>
      <c r="B90" s="604" t="s">
        <v>194</v>
      </c>
      <c r="C90" s="647"/>
      <c r="D90" s="647"/>
      <c r="E90" s="671">
        <f>-SUM(C23:M24,C26:M27)</f>
        <v>73779120</v>
      </c>
      <c r="F90" s="672"/>
      <c r="G90" s="612"/>
      <c r="H90" s="648"/>
      <c r="I90" s="649"/>
      <c r="J90" s="649"/>
      <c r="K90" s="689"/>
      <c r="L90" s="690"/>
      <c r="M90" s="650"/>
    </row>
    <row r="91" spans="1:13" ht="11.25" customHeight="1" x14ac:dyDescent="0.15">
      <c r="A91" s="607"/>
      <c r="B91" s="604" t="s">
        <v>3</v>
      </c>
      <c r="C91" s="682"/>
      <c r="D91" s="683"/>
      <c r="E91" s="671">
        <f>E82+E89+E90</f>
        <v>831253131.05318177</v>
      </c>
      <c r="F91" s="672"/>
      <c r="G91" s="651"/>
      <c r="H91" s="684" t="s">
        <v>28</v>
      </c>
      <c r="I91" s="685"/>
      <c r="J91" s="685"/>
      <c r="K91" s="686">
        <f>SUM(K73:L90)</f>
        <v>831200741.38477731</v>
      </c>
      <c r="L91" s="687"/>
      <c r="M91" s="652"/>
    </row>
    <row r="92" spans="1:13" ht="14.25" customHeight="1" x14ac:dyDescent="0.15">
      <c r="A92" s="653"/>
      <c r="B92" s="653"/>
      <c r="C92" s="654"/>
      <c r="D92" s="655"/>
      <c r="E92" s="653"/>
      <c r="F92" s="653"/>
      <c r="G92" s="653"/>
      <c r="H92" s="653"/>
      <c r="I92" s="653"/>
      <c r="J92" s="653"/>
      <c r="K92" s="653"/>
      <c r="L92" s="653"/>
      <c r="M92" s="653"/>
    </row>
    <row r="93" spans="1:13" ht="14.25" customHeight="1" x14ac:dyDescent="0.15">
      <c r="C93" s="42"/>
      <c r="D93" s="43"/>
    </row>
    <row r="94" spans="1:13" ht="14.25" customHeight="1" x14ac:dyDescent="0.15">
      <c r="C94" s="42"/>
      <c r="D94" s="43"/>
    </row>
    <row r="95" spans="1:13" ht="14.25" customHeight="1" x14ac:dyDescent="0.15">
      <c r="C95" s="42"/>
      <c r="D95" s="43"/>
    </row>
  </sheetData>
  <mergeCells count="107">
    <mergeCell ref="A8:B8"/>
    <mergeCell ref="A9:B9"/>
    <mergeCell ref="A10:B10"/>
    <mergeCell ref="A13:B13"/>
    <mergeCell ref="A11:B11"/>
    <mergeCell ref="A12:B12"/>
    <mergeCell ref="A21:B21"/>
    <mergeCell ref="A22:B22"/>
    <mergeCell ref="A19:B19"/>
    <mergeCell ref="A20:B20"/>
    <mergeCell ref="A31:B31"/>
    <mergeCell ref="A33:B33"/>
    <mergeCell ref="A34:B34"/>
    <mergeCell ref="A23:B23"/>
    <mergeCell ref="A25:B25"/>
    <mergeCell ref="A28:B28"/>
    <mergeCell ref="A47:A48"/>
    <mergeCell ref="A49:A50"/>
    <mergeCell ref="A43:M43"/>
    <mergeCell ref="A54:B54"/>
    <mergeCell ref="A55:B55"/>
    <mergeCell ref="A57:A58"/>
    <mergeCell ref="A51:B51"/>
    <mergeCell ref="A52:B52"/>
    <mergeCell ref="A53:B53"/>
    <mergeCell ref="A64:B64"/>
    <mergeCell ref="A65:B65"/>
    <mergeCell ref="A66:B66"/>
    <mergeCell ref="A59:A60"/>
    <mergeCell ref="A61:B61"/>
    <mergeCell ref="A62:B62"/>
    <mergeCell ref="A71:B71"/>
    <mergeCell ref="C71:D71"/>
    <mergeCell ref="E71:F71"/>
    <mergeCell ref="H71:J71"/>
    <mergeCell ref="K71:L71"/>
    <mergeCell ref="A67:B67"/>
    <mergeCell ref="A68:B68"/>
    <mergeCell ref="A70:F70"/>
    <mergeCell ref="H70:M70"/>
    <mergeCell ref="K73:L73"/>
    <mergeCell ref="A75:A76"/>
    <mergeCell ref="E75:F75"/>
    <mergeCell ref="H75:J75"/>
    <mergeCell ref="K75:L75"/>
    <mergeCell ref="E76:F76"/>
    <mergeCell ref="A72:A73"/>
    <mergeCell ref="E72:F72"/>
    <mergeCell ref="H72:J72"/>
    <mergeCell ref="E73:F73"/>
    <mergeCell ref="H73:J73"/>
    <mergeCell ref="H76:J76"/>
    <mergeCell ref="K76:L76"/>
    <mergeCell ref="C91:D91"/>
    <mergeCell ref="E91:F91"/>
    <mergeCell ref="H91:J91"/>
    <mergeCell ref="K91:L91"/>
    <mergeCell ref="C89:D89"/>
    <mergeCell ref="E89:F89"/>
    <mergeCell ref="H89:J89"/>
    <mergeCell ref="K90:L90"/>
    <mergeCell ref="E90:F90"/>
    <mergeCell ref="C86:D86"/>
    <mergeCell ref="E86:F86"/>
    <mergeCell ref="H86:J86"/>
    <mergeCell ref="K86:L86"/>
    <mergeCell ref="K88:L88"/>
    <mergeCell ref="K85:L85"/>
    <mergeCell ref="C83:D83"/>
    <mergeCell ref="C88:D88"/>
    <mergeCell ref="E88:F88"/>
    <mergeCell ref="H88:J88"/>
    <mergeCell ref="C85:D85"/>
    <mergeCell ref="E85:F85"/>
    <mergeCell ref="H85:J85"/>
    <mergeCell ref="E87:F87"/>
    <mergeCell ref="C82:D82"/>
    <mergeCell ref="E82:F82"/>
    <mergeCell ref="H82:J82"/>
    <mergeCell ref="K82:L82"/>
    <mergeCell ref="C84:D84"/>
    <mergeCell ref="E84:F84"/>
    <mergeCell ref="H84:J84"/>
    <mergeCell ref="K84:L84"/>
    <mergeCell ref="E83:F83"/>
    <mergeCell ref="H83:J83"/>
    <mergeCell ref="K83:L83"/>
    <mergeCell ref="A81:B81"/>
    <mergeCell ref="E81:F81"/>
    <mergeCell ref="H81:J81"/>
    <mergeCell ref="K81:L81"/>
    <mergeCell ref="A80:B80"/>
    <mergeCell ref="E80:F80"/>
    <mergeCell ref="H80:J80"/>
    <mergeCell ref="K80:L80"/>
    <mergeCell ref="A77:B77"/>
    <mergeCell ref="E77:F77"/>
    <mergeCell ref="H77:J77"/>
    <mergeCell ref="K77:L77"/>
    <mergeCell ref="A79:B79"/>
    <mergeCell ref="E79:F79"/>
    <mergeCell ref="H79:J79"/>
    <mergeCell ref="K79:L79"/>
    <mergeCell ref="A78:B78"/>
    <mergeCell ref="E78:F78"/>
    <mergeCell ref="H78:J78"/>
    <mergeCell ref="K78:L78"/>
  </mergeCells>
  <pageMargins left="0.25" right="0.25" top="0.75" bottom="0.75" header="0.3" footer="0.3"/>
  <pageSetup paperSize="3" scale="68" fitToHeight="0" orientation="portrait" r:id="rId1"/>
  <headerFooter alignWithMargins="0">
    <oddHeader>&amp;L&amp;"Arial,Bold"2019 ULI Hines Student Competition&amp;R199991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C7F4F-65D9-4FB7-AD07-66224ABD0E9E}">
  <dimension ref="A1:H27"/>
  <sheetViews>
    <sheetView workbookViewId="0">
      <selection activeCell="J38" sqref="J38"/>
    </sheetView>
  </sheetViews>
  <sheetFormatPr baseColWidth="10" defaultColWidth="9" defaultRowHeight="13" x14ac:dyDescent="0.15"/>
  <cols>
    <col min="1" max="1" width="14.33203125" style="1" bestFit="1" customWidth="1"/>
    <col min="2" max="2" width="20.33203125" style="1" bestFit="1" customWidth="1"/>
    <col min="3" max="3" width="13" style="1" bestFit="1" customWidth="1"/>
    <col min="4" max="4" width="12.83203125" style="1" bestFit="1" customWidth="1"/>
    <col min="5" max="5" width="9" style="1"/>
    <col min="6" max="6" width="13.6640625" style="1" bestFit="1" customWidth="1"/>
    <col min="7" max="16384" width="9" style="1"/>
  </cols>
  <sheetData>
    <row r="1" spans="1:8" ht="16" x14ac:dyDescent="0.2">
      <c r="A1" s="398" t="s">
        <v>300</v>
      </c>
      <c r="B1" s="446"/>
      <c r="C1" s="446"/>
      <c r="D1" s="446"/>
      <c r="E1" s="446"/>
      <c r="F1" s="446"/>
      <c r="G1" s="446"/>
      <c r="H1" s="446"/>
    </row>
    <row r="2" spans="1:8" ht="17" thickBot="1" x14ac:dyDescent="0.25">
      <c r="A2" s="464"/>
      <c r="B2" s="446"/>
      <c r="C2" s="446"/>
      <c r="D2" s="446"/>
      <c r="E2" s="446"/>
      <c r="F2" s="446"/>
      <c r="G2" s="5"/>
      <c r="H2" s="5"/>
    </row>
    <row r="3" spans="1:8" ht="14" thickBot="1" x14ac:dyDescent="0.2">
      <c r="A3" s="288"/>
      <c r="B3" s="465" t="s">
        <v>217</v>
      </c>
      <c r="C3" s="466"/>
      <c r="D3" s="453" t="s">
        <v>125</v>
      </c>
      <c r="E3" s="453" t="s">
        <v>236</v>
      </c>
      <c r="F3" s="288"/>
    </row>
    <row r="4" spans="1:8" x14ac:dyDescent="0.15">
      <c r="A4" s="288"/>
      <c r="B4" s="454" t="s">
        <v>220</v>
      </c>
      <c r="C4" s="277"/>
      <c r="D4" s="447"/>
      <c r="E4" s="447"/>
      <c r="F4" s="288"/>
    </row>
    <row r="5" spans="1:8" x14ac:dyDescent="0.15">
      <c r="A5" s="288"/>
      <c r="B5" s="455" t="s">
        <v>222</v>
      </c>
      <c r="C5" s="277"/>
      <c r="D5" s="456">
        <v>545000000</v>
      </c>
      <c r="E5" s="457">
        <f>D5/$D$9</f>
        <v>0.65567795222611569</v>
      </c>
      <c r="F5" s="288"/>
    </row>
    <row r="6" spans="1:8" x14ac:dyDescent="0.15">
      <c r="A6" s="288"/>
      <c r="B6" s="455" t="s">
        <v>224</v>
      </c>
      <c r="C6" s="277"/>
      <c r="D6" s="456">
        <f>Assumptions!F43*Assumptions!U15</f>
        <v>67242980</v>
      </c>
      <c r="E6" s="457">
        <f>D6/$D$9</f>
        <v>8.0898604455012207E-2</v>
      </c>
      <c r="F6" s="288"/>
    </row>
    <row r="7" spans="1:8" x14ac:dyDescent="0.15">
      <c r="A7" s="288"/>
      <c r="B7" s="455" t="s">
        <v>291</v>
      </c>
      <c r="C7" s="277"/>
      <c r="D7" s="456">
        <f>130*'3. Affordable Rental Housing'!I6</f>
        <v>55190776.170833334</v>
      </c>
      <c r="E7" s="457">
        <f>D7/$D$9</f>
        <v>6.6398853397177812E-2</v>
      </c>
      <c r="F7" s="288"/>
    </row>
    <row r="8" spans="1:8" x14ac:dyDescent="0.15">
      <c r="A8" s="288"/>
      <c r="B8" s="455" t="s">
        <v>56</v>
      </c>
      <c r="C8" s="277"/>
      <c r="D8" s="456">
        <f>(D16-D5-D6-D7)</f>
        <v>163766985.21394396</v>
      </c>
      <c r="E8" s="457">
        <f>D8/$D$9</f>
        <v>0.19702458992169422</v>
      </c>
      <c r="F8" s="288"/>
    </row>
    <row r="9" spans="1:8" ht="14" thickBot="1" x14ac:dyDescent="0.2">
      <c r="A9" s="288"/>
      <c r="B9" s="458" t="s">
        <v>221</v>
      </c>
      <c r="C9" s="459"/>
      <c r="D9" s="460">
        <f>SUM(D5:D8)</f>
        <v>831200741.38477731</v>
      </c>
      <c r="E9" s="461">
        <f>D9/$D$9</f>
        <v>1</v>
      </c>
      <c r="F9" s="288"/>
    </row>
    <row r="10" spans="1:8" x14ac:dyDescent="0.15">
      <c r="A10" s="288"/>
      <c r="B10" s="454" t="s">
        <v>218</v>
      </c>
      <c r="C10" s="277"/>
      <c r="D10" s="462"/>
      <c r="E10" s="463"/>
      <c r="F10" s="288"/>
    </row>
    <row r="11" spans="1:8" x14ac:dyDescent="0.15">
      <c r="A11" s="288"/>
      <c r="B11" s="455" t="s">
        <v>193</v>
      </c>
      <c r="C11" s="277"/>
      <c r="D11" s="456">
        <f>-SUM('Summary Board'!C24:M24)</f>
        <v>9067000</v>
      </c>
      <c r="E11" s="457">
        <f>D11/$D$16</f>
        <v>1.0908315583182003E-2</v>
      </c>
      <c r="F11" s="288"/>
    </row>
    <row r="12" spans="1:8" x14ac:dyDescent="0.15">
      <c r="A12" s="288"/>
      <c r="B12" s="455" t="s">
        <v>188</v>
      </c>
      <c r="C12" s="277"/>
      <c r="D12" s="456">
        <f>-SUM('Summary Board'!C17:M22)</f>
        <v>664542221.73991752</v>
      </c>
      <c r="E12" s="457">
        <f t="shared" ref="E12:E16" si="0">D12/$D$16</f>
        <v>0.7994966662719678</v>
      </c>
      <c r="F12" s="288"/>
    </row>
    <row r="13" spans="1:8" x14ac:dyDescent="0.15">
      <c r="A13" s="288"/>
      <c r="B13" s="455" t="s">
        <v>14</v>
      </c>
      <c r="C13" s="277"/>
      <c r="D13" s="456">
        <f>-SUM('Summary Board'!C25:M25,'Summary Board'!C23:M23)</f>
        <v>127931789.31326431</v>
      </c>
      <c r="E13" s="457">
        <f t="shared" si="0"/>
        <v>0.153912025030356</v>
      </c>
      <c r="F13" s="288"/>
    </row>
    <row r="14" spans="1:8" x14ac:dyDescent="0.15">
      <c r="A14" s="288"/>
      <c r="B14" s="455" t="s">
        <v>229</v>
      </c>
      <c r="C14" s="277"/>
      <c r="D14" s="558">
        <f>Assumptions!F44*SUM(D11:D13,5450000)</f>
        <v>24209730.331595454</v>
      </c>
      <c r="E14" s="457">
        <f t="shared" si="0"/>
        <v>2.9126213592233007E-2</v>
      </c>
      <c r="F14" s="288"/>
    </row>
    <row r="15" spans="1:8" x14ac:dyDescent="0.15">
      <c r="A15" s="288"/>
      <c r="B15" s="455" t="s">
        <v>237</v>
      </c>
      <c r="C15" s="277"/>
      <c r="D15" s="456">
        <f>Assumptions!F45*D5</f>
        <v>5450000</v>
      </c>
      <c r="E15" s="457">
        <f t="shared" si="0"/>
        <v>6.5567795222611575E-3</v>
      </c>
      <c r="F15" s="448"/>
    </row>
    <row r="16" spans="1:8" ht="14" thickBot="1" x14ac:dyDescent="0.2">
      <c r="A16" s="288"/>
      <c r="B16" s="458" t="s">
        <v>219</v>
      </c>
      <c r="C16" s="459"/>
      <c r="D16" s="460">
        <f>SUM(D11:D15)</f>
        <v>831200741.38477731</v>
      </c>
      <c r="E16" s="461">
        <f t="shared" si="0"/>
        <v>1</v>
      </c>
      <c r="F16" s="288"/>
    </row>
    <row r="17" spans="1:6" x14ac:dyDescent="0.15">
      <c r="A17" s="288"/>
      <c r="B17" s="288"/>
      <c r="C17" s="288"/>
      <c r="D17" s="449"/>
      <c r="E17" s="288"/>
      <c r="F17" s="288"/>
    </row>
    <row r="18" spans="1:6" x14ac:dyDescent="0.15">
      <c r="D18" s="450"/>
    </row>
    <row r="19" spans="1:6" x14ac:dyDescent="0.15">
      <c r="D19" s="450"/>
    </row>
    <row r="26" spans="1:6" x14ac:dyDescent="0.15">
      <c r="B26" s="451"/>
    </row>
    <row r="27" spans="1:6" x14ac:dyDescent="0.15">
      <c r="C27" s="199"/>
      <c r="D27" s="45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067A0-95C7-494D-B1CF-437E3BBC3BE0}">
  <dimension ref="A1:N55"/>
  <sheetViews>
    <sheetView topLeftCell="A17" workbookViewId="0">
      <selection activeCell="D37" sqref="D37"/>
    </sheetView>
  </sheetViews>
  <sheetFormatPr baseColWidth="10" defaultColWidth="9.1640625" defaultRowHeight="13" x14ac:dyDescent="0.15"/>
  <cols>
    <col min="1" max="1" width="34.6640625" style="117" customWidth="1"/>
    <col min="2" max="2" width="16" style="117" bestFit="1" customWidth="1"/>
    <col min="3" max="5" width="14.33203125" style="117" bestFit="1" customWidth="1"/>
    <col min="6" max="9" width="13.83203125" style="117" bestFit="1" customWidth="1"/>
    <col min="10" max="10" width="13.6640625" style="117" customWidth="1"/>
    <col min="11" max="11" width="13.83203125" style="117" bestFit="1" customWidth="1"/>
    <col min="12" max="13" width="15.33203125" style="117" bestFit="1" customWidth="1"/>
    <col min="14" max="14" width="15" style="117" bestFit="1" customWidth="1"/>
    <col min="15" max="16384" width="9.1640625" style="117"/>
  </cols>
  <sheetData>
    <row r="1" spans="1:14" ht="17" thickBot="1" x14ac:dyDescent="0.25">
      <c r="A1" s="467" t="s">
        <v>301</v>
      </c>
    </row>
    <row r="2" spans="1:14" ht="14" x14ac:dyDescent="0.15">
      <c r="A2" s="118"/>
      <c r="B2" s="119" t="s">
        <v>68</v>
      </c>
      <c r="C2" s="119" t="s">
        <v>35</v>
      </c>
      <c r="D2" s="119"/>
      <c r="E2" s="119"/>
      <c r="F2" s="120"/>
      <c r="G2" s="120" t="s">
        <v>153</v>
      </c>
      <c r="H2" s="121"/>
      <c r="I2" s="122" t="s">
        <v>154</v>
      </c>
      <c r="J2" s="123"/>
      <c r="K2" s="123"/>
      <c r="L2" s="124"/>
      <c r="M2" s="125"/>
    </row>
    <row r="3" spans="1:14" ht="14" x14ac:dyDescent="0.15">
      <c r="A3" s="126"/>
      <c r="B3" s="127">
        <v>0</v>
      </c>
      <c r="C3" s="127">
        <f>B3+1</f>
        <v>1</v>
      </c>
      <c r="D3" s="127">
        <f t="shared" ref="D3:L3" si="0">C3+1</f>
        <v>2</v>
      </c>
      <c r="E3" s="127">
        <f t="shared" si="0"/>
        <v>3</v>
      </c>
      <c r="F3" s="128">
        <f t="shared" si="0"/>
        <v>4</v>
      </c>
      <c r="G3" s="128">
        <f t="shared" si="0"/>
        <v>5</v>
      </c>
      <c r="H3" s="128">
        <f t="shared" si="0"/>
        <v>6</v>
      </c>
      <c r="I3" s="129">
        <f t="shared" si="0"/>
        <v>7</v>
      </c>
      <c r="J3" s="129">
        <f t="shared" si="0"/>
        <v>8</v>
      </c>
      <c r="K3" s="129">
        <f t="shared" si="0"/>
        <v>9</v>
      </c>
      <c r="L3" s="130">
        <f t="shared" si="0"/>
        <v>10</v>
      </c>
      <c r="M3" s="131"/>
    </row>
    <row r="4" spans="1:14" ht="15" thickBot="1" x14ac:dyDescent="0.2">
      <c r="A4" s="132"/>
      <c r="B4" s="133" t="s">
        <v>88</v>
      </c>
      <c r="C4" s="133">
        <v>2021</v>
      </c>
      <c r="D4" s="133">
        <f t="shared" ref="D4:L4" si="1">C4+1</f>
        <v>2022</v>
      </c>
      <c r="E4" s="133">
        <f t="shared" si="1"/>
        <v>2023</v>
      </c>
      <c r="F4" s="134">
        <f t="shared" si="1"/>
        <v>2024</v>
      </c>
      <c r="G4" s="134">
        <f t="shared" si="1"/>
        <v>2025</v>
      </c>
      <c r="H4" s="134">
        <f t="shared" si="1"/>
        <v>2026</v>
      </c>
      <c r="I4" s="135">
        <f t="shared" si="1"/>
        <v>2027</v>
      </c>
      <c r="J4" s="135">
        <f t="shared" si="1"/>
        <v>2028</v>
      </c>
      <c r="K4" s="135">
        <f t="shared" si="1"/>
        <v>2029</v>
      </c>
      <c r="L4" s="136">
        <f t="shared" si="1"/>
        <v>2030</v>
      </c>
      <c r="M4" s="137" t="s">
        <v>28</v>
      </c>
    </row>
    <row r="5" spans="1:14" ht="14" x14ac:dyDescent="0.15">
      <c r="A5" s="138" t="s">
        <v>193</v>
      </c>
      <c r="B5" s="160">
        <f>'Summary Board'!C24</f>
        <v>-9067000</v>
      </c>
      <c r="C5" s="160">
        <f>'Summary Board'!D24</f>
        <v>0</v>
      </c>
      <c r="D5" s="160">
        <f>'Summary Board'!E24</f>
        <v>0</v>
      </c>
      <c r="E5" s="160">
        <f>'Summary Board'!F24</f>
        <v>0</v>
      </c>
      <c r="F5" s="161">
        <f>'Summary Board'!G24</f>
        <v>0</v>
      </c>
      <c r="G5" s="161">
        <f>'Summary Board'!H24</f>
        <v>0</v>
      </c>
      <c r="H5" s="161">
        <f>'Summary Board'!I24</f>
        <v>0</v>
      </c>
      <c r="I5" s="162">
        <f>'Summary Board'!J24</f>
        <v>0</v>
      </c>
      <c r="J5" s="162">
        <f>'Summary Board'!K24</f>
        <v>0</v>
      </c>
      <c r="K5" s="162">
        <f>'Summary Board'!L24</f>
        <v>0</v>
      </c>
      <c r="L5" s="163">
        <f>'Summary Board'!M24</f>
        <v>0</v>
      </c>
      <c r="M5" s="139">
        <f t="shared" ref="M5:M6" si="2">SUM(B5:L5)</f>
        <v>-9067000</v>
      </c>
    </row>
    <row r="6" spans="1:14" ht="14" x14ac:dyDescent="0.15">
      <c r="A6" s="126" t="s">
        <v>188</v>
      </c>
      <c r="B6" s="160">
        <f>SUM('Summary Board'!C17:C22)</f>
        <v>0</v>
      </c>
      <c r="C6" s="160">
        <f>SUM('Summary Board'!D17:D22)</f>
        <v>-137269493.05684131</v>
      </c>
      <c r="D6" s="160">
        <f>SUM('Summary Board'!E17:E22)</f>
        <v>-140014882.91797811</v>
      </c>
      <c r="E6" s="160">
        <f>SUM('Summary Board'!F17:F22)</f>
        <v>0</v>
      </c>
      <c r="F6" s="161">
        <f>SUM('Summary Board'!G17:G22)</f>
        <v>-93569460.883944243</v>
      </c>
      <c r="G6" s="161">
        <f>SUM('Summary Board'!H17:H22)</f>
        <v>-95440850.101623118</v>
      </c>
      <c r="H6" s="161">
        <f>SUM('Summary Board'!I17:I22)</f>
        <v>0</v>
      </c>
      <c r="I6" s="162">
        <f>SUM('Summary Board'!J17:J22)</f>
        <v>-98142343.950262681</v>
      </c>
      <c r="J6" s="162">
        <f>SUM('Summary Board'!K17:K22)</f>
        <v>-100105190.82926793</v>
      </c>
      <c r="K6" s="162">
        <f>SUM('Summary Board'!L17:L22)</f>
        <v>0</v>
      </c>
      <c r="L6" s="163">
        <f>SUM('Summary Board'!M17:M22)</f>
        <v>0</v>
      </c>
      <c r="M6" s="144">
        <f t="shared" si="2"/>
        <v>-664542221.73991752</v>
      </c>
    </row>
    <row r="7" spans="1:14" ht="14" x14ac:dyDescent="0.15">
      <c r="A7" s="126" t="s">
        <v>14</v>
      </c>
      <c r="B7" s="160">
        <f>'Summary Board'!C25</f>
        <v>-10323134.383743377</v>
      </c>
      <c r="C7" s="160">
        <f>'Summary Board'!D25</f>
        <v>-10413134.383743377</v>
      </c>
      <c r="D7" s="160">
        <f>'Summary Board'!E25</f>
        <v>-10413134.383743377</v>
      </c>
      <c r="E7" s="160">
        <f>'Summary Board'!F25</f>
        <v>-7177693.5781802358</v>
      </c>
      <c r="F7" s="161">
        <f>'Summary Board'!G25</f>
        <v>-24677693.578180235</v>
      </c>
      <c r="G7" s="161">
        <f>'Summary Board'!H25</f>
        <v>-7177693.5781802358</v>
      </c>
      <c r="H7" s="161">
        <f>'Summary Board'!I25</f>
        <v>-7516435.1424978292</v>
      </c>
      <c r="I7" s="162">
        <f>'Summary Board'!J25</f>
        <v>-7516435.1424978292</v>
      </c>
      <c r="J7" s="162">
        <f>'Summary Board'!K25</f>
        <v>-7516435.1424978292</v>
      </c>
      <c r="K7" s="162">
        <f>'Summary Board'!L25</f>
        <v>-100000</v>
      </c>
      <c r="L7" s="163">
        <f>'Summary Board'!M25</f>
        <v>-100000</v>
      </c>
      <c r="M7" s="144">
        <f>SUM(B7:L7)</f>
        <v>-92931789.31326431</v>
      </c>
    </row>
    <row r="8" spans="1:14" ht="14" x14ac:dyDescent="0.15">
      <c r="A8" s="145" t="s">
        <v>194</v>
      </c>
      <c r="B8" s="160">
        <f>'Summary Board'!C23+'Summary Board'!C26+'Summary Board'!C27</f>
        <v>-22950000</v>
      </c>
      <c r="C8" s="160">
        <f>'Summary Board'!D23+'Summary Board'!D26+'Summary Board'!D27</f>
        <v>-17500000</v>
      </c>
      <c r="D8" s="160">
        <f>'Summary Board'!E23+'Summary Board'!E26+'Summary Board'!E27</f>
        <v>0</v>
      </c>
      <c r="E8" s="160">
        <f>'Summary Board'!F23+'Summary Board'!F26+'Summary Board'!F27</f>
        <v>-10347607.161097238</v>
      </c>
      <c r="F8" s="161">
        <f>'Summary Board'!G23+'Summary Board'!G26+'Summary Board'!G27</f>
        <v>0</v>
      </c>
      <c r="G8" s="161">
        <f>'Summary Board'!H23+'Summary Board'!H26+'Summary Board'!H27</f>
        <v>0</v>
      </c>
      <c r="H8" s="161">
        <f>'Summary Board'!I23+'Summary Board'!I26+'Summary Board'!I27</f>
        <v>-7091769.4564282419</v>
      </c>
      <c r="I8" s="162">
        <f>'Summary Board'!J23+'Summary Board'!J26+'Summary Board'!J27</f>
        <v>0</v>
      </c>
      <c r="J8" s="162">
        <f>'Summary Board'!K23+'Summary Board'!K26+'Summary Board'!K27</f>
        <v>-6822743.3824745212</v>
      </c>
      <c r="K8" s="162">
        <f>'Summary Board'!L23+'Summary Board'!L26+'Summary Board'!L27</f>
        <v>0</v>
      </c>
      <c r="L8" s="163">
        <f>'Summary Board'!M23+'Summary Board'!M26+'Summary Board'!M27</f>
        <v>0</v>
      </c>
      <c r="M8" s="146">
        <f>SUM(B8:L8)</f>
        <v>-64712120</v>
      </c>
      <c r="N8" s="147"/>
    </row>
    <row r="9" spans="1:14" ht="14" x14ac:dyDescent="0.15">
      <c r="A9" s="148" t="s">
        <v>3</v>
      </c>
      <c r="B9" s="149">
        <f t="shared" ref="B9:K9" si="3">SUM(B5:B8)</f>
        <v>-42340134.383743376</v>
      </c>
      <c r="C9" s="149">
        <f t="shared" si="3"/>
        <v>-165182627.44058469</v>
      </c>
      <c r="D9" s="149">
        <f t="shared" si="3"/>
        <v>-150428017.30172148</v>
      </c>
      <c r="E9" s="149">
        <f t="shared" si="3"/>
        <v>-17525300.739277475</v>
      </c>
      <c r="F9" s="150">
        <f t="shared" si="3"/>
        <v>-118247154.46212448</v>
      </c>
      <c r="G9" s="150">
        <f t="shared" si="3"/>
        <v>-102618543.67980336</v>
      </c>
      <c r="H9" s="150">
        <f t="shared" si="3"/>
        <v>-14608204.598926071</v>
      </c>
      <c r="I9" s="151">
        <f t="shared" si="3"/>
        <v>-105658779.0927605</v>
      </c>
      <c r="J9" s="151">
        <f t="shared" si="3"/>
        <v>-114444369.35424028</v>
      </c>
      <c r="K9" s="151">
        <f t="shared" si="3"/>
        <v>-100000</v>
      </c>
      <c r="L9" s="152">
        <f>SUM(L5:L8)</f>
        <v>-100000</v>
      </c>
      <c r="M9" s="153">
        <f>SUM(M5:M8)</f>
        <v>-831253131.05318189</v>
      </c>
    </row>
    <row r="10" spans="1:14" ht="14" x14ac:dyDescent="0.15">
      <c r="A10" s="138"/>
      <c r="B10" s="154"/>
      <c r="C10" s="154"/>
      <c r="D10" s="154"/>
      <c r="E10" s="154"/>
      <c r="F10" s="155"/>
      <c r="G10" s="155"/>
      <c r="H10" s="155"/>
      <c r="I10" s="156"/>
      <c r="J10" s="156"/>
      <c r="K10" s="156"/>
      <c r="L10" s="157"/>
      <c r="M10" s="158"/>
    </row>
    <row r="11" spans="1:14" ht="14" x14ac:dyDescent="0.15">
      <c r="A11" s="159" t="s">
        <v>195</v>
      </c>
      <c r="B11" s="160"/>
      <c r="C11" s="160"/>
      <c r="D11" s="160"/>
      <c r="E11" s="160"/>
      <c r="F11" s="161"/>
      <c r="G11" s="161"/>
      <c r="H11" s="161"/>
      <c r="I11" s="162"/>
      <c r="J11" s="162"/>
      <c r="K11" s="162"/>
      <c r="L11" s="163"/>
      <c r="M11" s="164"/>
    </row>
    <row r="12" spans="1:14" ht="14" x14ac:dyDescent="0.15">
      <c r="A12" s="126" t="s">
        <v>196</v>
      </c>
      <c r="B12" s="165">
        <f>-B9</f>
        <v>42340134.383743376</v>
      </c>
      <c r="C12" s="165">
        <f>B13</f>
        <v>121426850.83020058</v>
      </c>
      <c r="D12" s="165"/>
      <c r="E12" s="165"/>
      <c r="F12" s="166"/>
      <c r="G12" s="166"/>
      <c r="H12" s="166"/>
      <c r="I12" s="167"/>
      <c r="J12" s="167"/>
      <c r="K12" s="167"/>
      <c r="L12" s="168"/>
      <c r="M12" s="144">
        <f t="shared" ref="M12:M21" si="4">SUM(B12:L12)</f>
        <v>163766985.21394396</v>
      </c>
      <c r="N12" s="169"/>
    </row>
    <row r="13" spans="1:14" ht="14" x14ac:dyDescent="0.15">
      <c r="A13" s="200" t="s">
        <v>232</v>
      </c>
      <c r="B13" s="165">
        <f>'Sources &amp; Uses'!D8-B12</f>
        <v>121426850.83020058</v>
      </c>
      <c r="C13" s="165">
        <f>B13-C12</f>
        <v>0</v>
      </c>
      <c r="D13" s="170"/>
      <c r="E13" s="170"/>
      <c r="F13" s="171"/>
      <c r="G13" s="171"/>
      <c r="H13" s="171"/>
      <c r="I13" s="172"/>
      <c r="J13" s="172"/>
      <c r="K13" s="172"/>
      <c r="L13" s="173"/>
      <c r="M13" s="144">
        <f t="shared" si="4"/>
        <v>121426850.83020058</v>
      </c>
      <c r="N13" s="169"/>
    </row>
    <row r="14" spans="1:14" ht="14" x14ac:dyDescent="0.15">
      <c r="A14" s="267"/>
      <c r="B14" s="165"/>
      <c r="C14" s="165"/>
      <c r="D14" s="165"/>
      <c r="E14" s="165"/>
      <c r="F14" s="166"/>
      <c r="G14" s="166"/>
      <c r="H14" s="166"/>
      <c r="I14" s="167"/>
      <c r="J14" s="167"/>
      <c r="K14" s="167"/>
      <c r="L14" s="168"/>
      <c r="M14" s="144"/>
      <c r="N14" s="174"/>
    </row>
    <row r="15" spans="1:14" ht="14" x14ac:dyDescent="0.15">
      <c r="A15" s="126" t="s">
        <v>292</v>
      </c>
      <c r="B15" s="165"/>
      <c r="C15" s="165">
        <f>-C9-C12</f>
        <v>43755776.610384107</v>
      </c>
      <c r="D15" s="165">
        <f>C16</f>
        <v>11434999.560449228</v>
      </c>
      <c r="E15" s="165"/>
      <c r="F15" s="166"/>
      <c r="G15" s="166"/>
      <c r="H15" s="166"/>
      <c r="I15" s="167"/>
      <c r="J15" s="167"/>
      <c r="K15" s="167"/>
      <c r="L15" s="168"/>
      <c r="M15" s="144">
        <f t="shared" si="4"/>
        <v>55190776.170833334</v>
      </c>
      <c r="N15" s="174"/>
    </row>
    <row r="16" spans="1:14" ht="14" x14ac:dyDescent="0.15">
      <c r="A16" s="200" t="s">
        <v>293</v>
      </c>
      <c r="B16" s="165"/>
      <c r="C16" s="165">
        <f>'Sources &amp; Uses'!D7-C15</f>
        <v>11434999.560449228</v>
      </c>
      <c r="D16" s="165">
        <f>C16-D15</f>
        <v>0</v>
      </c>
      <c r="E16" s="170"/>
      <c r="F16" s="171"/>
      <c r="G16" s="171"/>
      <c r="H16" s="171"/>
      <c r="I16" s="172"/>
      <c r="J16" s="172"/>
      <c r="K16" s="172"/>
      <c r="L16" s="173"/>
      <c r="M16" s="144">
        <f t="shared" si="4"/>
        <v>11434999.560449228</v>
      </c>
      <c r="N16" s="174"/>
    </row>
    <row r="17" spans="1:14" ht="14" x14ac:dyDescent="0.15">
      <c r="A17" s="165"/>
      <c r="B17" s="165"/>
      <c r="C17" s="165"/>
      <c r="D17" s="165"/>
      <c r="E17" s="165"/>
      <c r="F17" s="166"/>
      <c r="G17" s="166"/>
      <c r="H17" s="166"/>
      <c r="I17" s="167"/>
      <c r="J17" s="167"/>
      <c r="K17" s="167"/>
      <c r="L17" s="168"/>
      <c r="M17" s="144">
        <f t="shared" si="4"/>
        <v>0</v>
      </c>
      <c r="N17" s="174"/>
    </row>
    <row r="18" spans="1:14" ht="14" x14ac:dyDescent="0.15">
      <c r="A18" s="126" t="s">
        <v>234</v>
      </c>
      <c r="B18" s="165"/>
      <c r="C18" s="165"/>
      <c r="D18" s="165">
        <f>'Sources &amp; Uses'!D6</f>
        <v>67242980</v>
      </c>
      <c r="E18" s="165"/>
      <c r="F18" s="166"/>
      <c r="G18" s="166"/>
      <c r="H18" s="166"/>
      <c r="I18" s="167"/>
      <c r="J18" s="167"/>
      <c r="K18" s="167"/>
      <c r="L18" s="168"/>
      <c r="M18" s="144">
        <f t="shared" si="4"/>
        <v>67242980</v>
      </c>
      <c r="N18" s="174"/>
    </row>
    <row r="19" spans="1:14" ht="14" x14ac:dyDescent="0.15">
      <c r="A19" s="200" t="s">
        <v>235</v>
      </c>
      <c r="B19" s="165"/>
      <c r="C19" s="170"/>
      <c r="D19" s="165">
        <v>0</v>
      </c>
      <c r="E19" s="165"/>
      <c r="F19" s="166"/>
      <c r="G19" s="171"/>
      <c r="H19" s="171"/>
      <c r="I19" s="172"/>
      <c r="J19" s="172"/>
      <c r="K19" s="172"/>
      <c r="L19" s="173"/>
      <c r="M19" s="144">
        <f t="shared" si="4"/>
        <v>0</v>
      </c>
      <c r="N19" s="174"/>
    </row>
    <row r="20" spans="1:14" ht="14" x14ac:dyDescent="0.15">
      <c r="B20" s="165"/>
      <c r="C20" s="165"/>
      <c r="D20" s="165"/>
      <c r="E20" s="165"/>
      <c r="F20" s="166"/>
      <c r="G20" s="166"/>
      <c r="H20" s="166"/>
      <c r="I20" s="167"/>
      <c r="J20" s="167"/>
      <c r="K20" s="167"/>
      <c r="L20" s="168"/>
      <c r="M20" s="144">
        <f t="shared" si="4"/>
        <v>0</v>
      </c>
      <c r="N20" s="174"/>
    </row>
    <row r="21" spans="1:14" ht="14" x14ac:dyDescent="0.15">
      <c r="A21" s="126" t="s">
        <v>197</v>
      </c>
      <c r="B21" s="165"/>
      <c r="C21" s="165"/>
      <c r="D21" s="165">
        <f>-D9-D15-D18</f>
        <v>71750037.741272271</v>
      </c>
      <c r="E21" s="165">
        <f>-E9</f>
        <v>17525300.739277475</v>
      </c>
      <c r="F21" s="166">
        <f t="shared" ref="F21:L21" si="5">-F9</f>
        <v>118247154.46212448</v>
      </c>
      <c r="G21" s="166">
        <f t="shared" si="5"/>
        <v>102618543.67980336</v>
      </c>
      <c r="H21" s="166">
        <f t="shared" si="5"/>
        <v>14608204.598926071</v>
      </c>
      <c r="I21" s="167">
        <f t="shared" si="5"/>
        <v>105658779.0927605</v>
      </c>
      <c r="J21" s="167">
        <f t="shared" si="5"/>
        <v>114444369.35424028</v>
      </c>
      <c r="K21" s="167">
        <f t="shared" si="5"/>
        <v>100000</v>
      </c>
      <c r="L21" s="168">
        <f t="shared" si="5"/>
        <v>100000</v>
      </c>
      <c r="M21" s="144">
        <f t="shared" si="4"/>
        <v>545052389.66840446</v>
      </c>
    </row>
    <row r="22" spans="1:14" ht="14" x14ac:dyDescent="0.15">
      <c r="A22" s="200" t="s">
        <v>240</v>
      </c>
      <c r="B22" s="165"/>
      <c r="C22" s="170"/>
      <c r="D22" s="165">
        <f>D21</f>
        <v>71750037.741272271</v>
      </c>
      <c r="E22" s="165">
        <f>D22+E21</f>
        <v>89275338.480549753</v>
      </c>
      <c r="F22" s="166">
        <f t="shared" ref="F22:K22" si="6">E22+F21</f>
        <v>207522492.94267422</v>
      </c>
      <c r="G22" s="166">
        <f t="shared" si="6"/>
        <v>310141036.62247759</v>
      </c>
      <c r="H22" s="166">
        <f t="shared" si="6"/>
        <v>324749241.22140366</v>
      </c>
      <c r="I22" s="167">
        <f t="shared" si="6"/>
        <v>430408020.31416416</v>
      </c>
      <c r="J22" s="167">
        <f t="shared" si="6"/>
        <v>544852389.66840446</v>
      </c>
      <c r="K22" s="167">
        <f t="shared" si="6"/>
        <v>544952389.66840446</v>
      </c>
      <c r="L22" s="168">
        <f>K22+L21</f>
        <v>545052389.66840446</v>
      </c>
      <c r="M22" s="144">
        <f>L22</f>
        <v>545052389.66840446</v>
      </c>
      <c r="N22" s="169"/>
    </row>
    <row r="23" spans="1:14" ht="14" x14ac:dyDescent="0.15">
      <c r="A23" s="126"/>
      <c r="B23" s="165"/>
      <c r="C23" s="165"/>
      <c r="D23" s="165"/>
      <c r="E23" s="165"/>
      <c r="F23" s="166"/>
      <c r="G23" s="166"/>
      <c r="H23" s="166"/>
      <c r="I23" s="167"/>
      <c r="J23" s="167"/>
      <c r="K23" s="167"/>
      <c r="L23" s="168"/>
      <c r="M23" s="164"/>
      <c r="N23" s="169"/>
    </row>
    <row r="24" spans="1:14" ht="14" x14ac:dyDescent="0.15">
      <c r="A24" s="159" t="s">
        <v>198</v>
      </c>
      <c r="B24" s="160"/>
      <c r="C24" s="160"/>
      <c r="D24" s="160"/>
      <c r="E24" s="160"/>
      <c r="F24" s="161"/>
      <c r="G24" s="161"/>
      <c r="H24" s="161"/>
      <c r="I24" s="162"/>
      <c r="J24" s="162"/>
      <c r="K24" s="162"/>
      <c r="L24" s="163"/>
      <c r="M24" s="164"/>
      <c r="N24" s="169"/>
    </row>
    <row r="25" spans="1:14" ht="14" x14ac:dyDescent="0.15">
      <c r="A25" s="126" t="s">
        <v>233</v>
      </c>
      <c r="B25" s="160"/>
      <c r="C25" s="160"/>
      <c r="D25" s="160">
        <f>Assumptions!$F$42*D22</f>
        <v>3766876.981416794</v>
      </c>
      <c r="E25" s="160">
        <f>Assumptions!$F$42*E22</f>
        <v>4686955.2702288618</v>
      </c>
      <c r="F25" s="161">
        <f>Assumptions!$F$42*F22</f>
        <v>10894930.879490396</v>
      </c>
      <c r="G25" s="161">
        <f>Assumptions!$F$42*G22</f>
        <v>16282404.422680072</v>
      </c>
      <c r="H25" s="161">
        <f>Assumptions!$F$42*H22</f>
        <v>17049335.164123692</v>
      </c>
      <c r="I25" s="162">
        <f>Assumptions!$F$42*I22</f>
        <v>22596421.066493619</v>
      </c>
      <c r="J25" s="162">
        <f>Assumptions!$F$42*J22</f>
        <v>28604750.457591232</v>
      </c>
      <c r="K25" s="162">
        <f>Assumptions!$F$42*K22</f>
        <v>28610000.457591232</v>
      </c>
      <c r="L25" s="163">
        <f>Assumptions!$F$42*L22</f>
        <v>28615250.457591232</v>
      </c>
      <c r="M25" s="144">
        <f t="shared" ref="M25:M26" si="7">SUM(B25:L25)</f>
        <v>161106925.15720713</v>
      </c>
    </row>
    <row r="26" spans="1:14" ht="14" x14ac:dyDescent="0.15">
      <c r="A26" s="126" t="s">
        <v>199</v>
      </c>
      <c r="B26" s="175"/>
      <c r="C26" s="175"/>
      <c r="D26" s="175"/>
      <c r="E26" s="175"/>
      <c r="F26" s="141"/>
      <c r="G26" s="141"/>
      <c r="H26" s="141"/>
      <c r="I26" s="142"/>
      <c r="J26" s="142"/>
      <c r="K26" s="142"/>
      <c r="L26" s="143">
        <f>L22</f>
        <v>545052389.66840446</v>
      </c>
      <c r="M26" s="144">
        <f t="shared" si="7"/>
        <v>545052389.66840446</v>
      </c>
    </row>
    <row r="27" spans="1:14" ht="14" x14ac:dyDescent="0.15">
      <c r="A27" s="148" t="s">
        <v>200</v>
      </c>
      <c r="B27" s="149">
        <f>SUM(B25:B26)</f>
        <v>0</v>
      </c>
      <c r="C27" s="149">
        <f t="shared" ref="C27:M27" si="8">SUM(C25:C26)</f>
        <v>0</v>
      </c>
      <c r="D27" s="149">
        <f t="shared" si="8"/>
        <v>3766876.981416794</v>
      </c>
      <c r="E27" s="149">
        <f t="shared" si="8"/>
        <v>4686955.2702288618</v>
      </c>
      <c r="F27" s="150">
        <f t="shared" si="8"/>
        <v>10894930.879490396</v>
      </c>
      <c r="G27" s="150">
        <f t="shared" si="8"/>
        <v>16282404.422680072</v>
      </c>
      <c r="H27" s="150">
        <f t="shared" si="8"/>
        <v>17049335.164123692</v>
      </c>
      <c r="I27" s="151">
        <f t="shared" si="8"/>
        <v>22596421.066493619</v>
      </c>
      <c r="J27" s="151">
        <f t="shared" si="8"/>
        <v>28604750.457591232</v>
      </c>
      <c r="K27" s="151">
        <f t="shared" si="8"/>
        <v>28610000.457591232</v>
      </c>
      <c r="L27" s="152">
        <f t="shared" si="8"/>
        <v>573667640.12599564</v>
      </c>
      <c r="M27" s="153">
        <f t="shared" si="8"/>
        <v>706159314.82561159</v>
      </c>
    </row>
    <row r="28" spans="1:14" ht="14" x14ac:dyDescent="0.15">
      <c r="A28" s="176"/>
      <c r="B28" s="177"/>
      <c r="C28" s="177"/>
      <c r="D28" s="177"/>
      <c r="E28" s="177"/>
      <c r="F28" s="178"/>
      <c r="G28" s="178"/>
      <c r="H28" s="178"/>
      <c r="I28" s="179"/>
      <c r="J28" s="179"/>
      <c r="K28" s="179"/>
      <c r="L28" s="180"/>
      <c r="M28" s="181"/>
      <c r="N28" s="182"/>
    </row>
    <row r="29" spans="1:14" ht="14" x14ac:dyDescent="0.15">
      <c r="A29" s="159" t="s">
        <v>201</v>
      </c>
      <c r="B29" s="165"/>
      <c r="C29" s="165"/>
      <c r="D29" s="165"/>
      <c r="E29" s="165"/>
      <c r="F29" s="166"/>
      <c r="G29" s="166"/>
      <c r="H29" s="166"/>
      <c r="I29" s="162"/>
      <c r="J29" s="162"/>
      <c r="K29" s="162"/>
      <c r="L29" s="163"/>
      <c r="M29" s="164"/>
      <c r="N29" s="182"/>
    </row>
    <row r="30" spans="1:14" ht="14" x14ac:dyDescent="0.15">
      <c r="A30" s="126" t="s">
        <v>5</v>
      </c>
      <c r="B30" s="160">
        <f>'Summary Board'!C31</f>
        <v>0</v>
      </c>
      <c r="C30" s="160">
        <f>'Summary Board'!D31</f>
        <v>0</v>
      </c>
      <c r="D30" s="160">
        <f>'Summary Board'!E31</f>
        <v>0</v>
      </c>
      <c r="E30" s="160">
        <f>'Summary Board'!F31</f>
        <v>24744344.172790568</v>
      </c>
      <c r="F30" s="161">
        <f>'Summary Board'!G31</f>
        <v>25236768.656246386</v>
      </c>
      <c r="G30" s="161">
        <f>'Summary Board'!H31</f>
        <v>32656042.989347428</v>
      </c>
      <c r="H30" s="161">
        <f>'Summary Board'!I31</f>
        <v>52305078.908331141</v>
      </c>
      <c r="I30" s="162">
        <f>'Summary Board'!J31</f>
        <v>53347130.486497767</v>
      </c>
      <c r="J30" s="162">
        <f>'Summary Board'!K31</f>
        <v>54482923.096227728</v>
      </c>
      <c r="K30" s="162">
        <f>'Summary Board'!L31</f>
        <v>69455701.457842737</v>
      </c>
      <c r="L30" s="163">
        <f>'Summary Board'!M31</f>
        <v>70839307.486999601</v>
      </c>
      <c r="M30" s="144">
        <f t="shared" ref="M30:M31" si="9">SUM(B30:L30)</f>
        <v>383067297.25428331</v>
      </c>
      <c r="N30" s="182"/>
    </row>
    <row r="31" spans="1:14" ht="14" x14ac:dyDescent="0.15">
      <c r="A31" s="126" t="s">
        <v>202</v>
      </c>
      <c r="B31" s="160">
        <f>-B25</f>
        <v>0</v>
      </c>
      <c r="C31" s="160">
        <f t="shared" ref="C31:L31" si="10">-C25</f>
        <v>0</v>
      </c>
      <c r="D31" s="160">
        <f t="shared" si="10"/>
        <v>-3766876.981416794</v>
      </c>
      <c r="E31" s="160">
        <f t="shared" si="10"/>
        <v>-4686955.2702288618</v>
      </c>
      <c r="F31" s="161">
        <f t="shared" si="10"/>
        <v>-10894930.879490396</v>
      </c>
      <c r="G31" s="161">
        <f t="shared" si="10"/>
        <v>-16282404.422680072</v>
      </c>
      <c r="H31" s="161">
        <f t="shared" si="10"/>
        <v>-17049335.164123692</v>
      </c>
      <c r="I31" s="162">
        <f t="shared" si="10"/>
        <v>-22596421.066493619</v>
      </c>
      <c r="J31" s="162">
        <f t="shared" si="10"/>
        <v>-28604750.457591232</v>
      </c>
      <c r="K31" s="162">
        <f t="shared" si="10"/>
        <v>-28610000.457591232</v>
      </c>
      <c r="L31" s="163">
        <f t="shared" si="10"/>
        <v>-28615250.457591232</v>
      </c>
      <c r="M31" s="144">
        <f t="shared" si="9"/>
        <v>-161106925.15720713</v>
      </c>
      <c r="N31" s="182"/>
    </row>
    <row r="32" spans="1:14" ht="14" x14ac:dyDescent="0.15">
      <c r="A32" s="148" t="s">
        <v>203</v>
      </c>
      <c r="B32" s="149">
        <f>SUM(B30:B31)</f>
        <v>0</v>
      </c>
      <c r="C32" s="149">
        <f t="shared" ref="C32:L32" si="11">SUM(C30:C31)</f>
        <v>0</v>
      </c>
      <c r="D32" s="149">
        <f t="shared" si="11"/>
        <v>-3766876.981416794</v>
      </c>
      <c r="E32" s="149">
        <f t="shared" si="11"/>
        <v>20057388.902561706</v>
      </c>
      <c r="F32" s="150">
        <f t="shared" si="11"/>
        <v>14341837.77675599</v>
      </c>
      <c r="G32" s="150">
        <f t="shared" si="11"/>
        <v>16373638.566667356</v>
      </c>
      <c r="H32" s="150">
        <f t="shared" si="11"/>
        <v>35255743.744207449</v>
      </c>
      <c r="I32" s="151">
        <f t="shared" si="11"/>
        <v>30750709.420004148</v>
      </c>
      <c r="J32" s="151">
        <f t="shared" si="11"/>
        <v>25878172.638636496</v>
      </c>
      <c r="K32" s="151">
        <f t="shared" si="11"/>
        <v>40845701.000251502</v>
      </c>
      <c r="L32" s="152">
        <f t="shared" si="11"/>
        <v>42224057.029408365</v>
      </c>
      <c r="M32" s="153">
        <f>SUM(M30:M31)</f>
        <v>221960372.09707618</v>
      </c>
    </row>
    <row r="33" spans="1:14" ht="14" x14ac:dyDescent="0.15">
      <c r="A33" s="176"/>
      <c r="B33" s="177"/>
      <c r="C33" s="177"/>
      <c r="D33" s="177"/>
      <c r="E33" s="177"/>
      <c r="F33" s="178"/>
      <c r="G33" s="178"/>
      <c r="H33" s="178"/>
      <c r="I33" s="179"/>
      <c r="J33" s="179"/>
      <c r="K33" s="179"/>
      <c r="L33" s="180"/>
      <c r="M33" s="181"/>
      <c r="N33" s="182"/>
    </row>
    <row r="34" spans="1:14" ht="14" x14ac:dyDescent="0.15">
      <c r="A34" s="183" t="s">
        <v>204</v>
      </c>
      <c r="B34" s="160"/>
      <c r="C34" s="160"/>
      <c r="D34" s="160"/>
      <c r="E34" s="160"/>
      <c r="F34" s="161"/>
      <c r="G34" s="161"/>
      <c r="H34" s="161"/>
      <c r="I34" s="162"/>
      <c r="J34" s="162"/>
      <c r="K34" s="162"/>
      <c r="L34" s="163"/>
      <c r="M34" s="164"/>
      <c r="N34" s="182"/>
    </row>
    <row r="35" spans="1:14" ht="14" x14ac:dyDescent="0.15">
      <c r="A35" s="126" t="s">
        <v>205</v>
      </c>
      <c r="B35" s="160">
        <f t="shared" ref="B35:L35" si="12">-B12</f>
        <v>-42340134.383743376</v>
      </c>
      <c r="C35" s="160">
        <f t="shared" si="12"/>
        <v>-121426850.83020058</v>
      </c>
      <c r="D35" s="160">
        <f t="shared" si="12"/>
        <v>0</v>
      </c>
      <c r="E35" s="160">
        <f t="shared" si="12"/>
        <v>0</v>
      </c>
      <c r="F35" s="161">
        <f t="shared" si="12"/>
        <v>0</v>
      </c>
      <c r="G35" s="161">
        <f t="shared" si="12"/>
        <v>0</v>
      </c>
      <c r="H35" s="161">
        <f t="shared" si="12"/>
        <v>0</v>
      </c>
      <c r="I35" s="162">
        <f t="shared" si="12"/>
        <v>0</v>
      </c>
      <c r="J35" s="162">
        <f t="shared" si="12"/>
        <v>0</v>
      </c>
      <c r="K35" s="162">
        <f t="shared" si="12"/>
        <v>0</v>
      </c>
      <c r="L35" s="163">
        <f t="shared" si="12"/>
        <v>0</v>
      </c>
      <c r="M35" s="144">
        <f t="shared" ref="M35:M39" si="13">SUM(B35:L35)</f>
        <v>-163766985.21394396</v>
      </c>
      <c r="N35" s="182"/>
    </row>
    <row r="36" spans="1:14" ht="14" x14ac:dyDescent="0.15">
      <c r="A36" s="126" t="s">
        <v>206</v>
      </c>
      <c r="B36" s="160">
        <f>B32</f>
        <v>0</v>
      </c>
      <c r="C36" s="160">
        <f t="shared" ref="C36:L36" si="14">C32</f>
        <v>0</v>
      </c>
      <c r="D36" s="160">
        <f t="shared" si="14"/>
        <v>-3766876.981416794</v>
      </c>
      <c r="E36" s="160">
        <f t="shared" si="14"/>
        <v>20057388.902561706</v>
      </c>
      <c r="F36" s="161">
        <f t="shared" si="14"/>
        <v>14341837.77675599</v>
      </c>
      <c r="G36" s="161">
        <f t="shared" si="14"/>
        <v>16373638.566667356</v>
      </c>
      <c r="H36" s="161">
        <f t="shared" si="14"/>
        <v>35255743.744207449</v>
      </c>
      <c r="I36" s="162">
        <f t="shared" si="14"/>
        <v>30750709.420004148</v>
      </c>
      <c r="J36" s="162">
        <f t="shared" si="14"/>
        <v>25878172.638636496</v>
      </c>
      <c r="K36" s="162">
        <f t="shared" si="14"/>
        <v>40845701.000251502</v>
      </c>
      <c r="L36" s="163">
        <f t="shared" si="14"/>
        <v>42224057.029408365</v>
      </c>
      <c r="M36" s="144">
        <f t="shared" si="13"/>
        <v>221960372.09707621</v>
      </c>
      <c r="N36" s="182"/>
    </row>
    <row r="37" spans="1:14" ht="14" x14ac:dyDescent="0.15">
      <c r="A37" s="126" t="s">
        <v>207</v>
      </c>
      <c r="B37" s="160"/>
      <c r="C37" s="160"/>
      <c r="D37" s="160"/>
      <c r="E37" s="160"/>
      <c r="F37" s="161"/>
      <c r="G37" s="161"/>
      <c r="H37" s="161"/>
      <c r="I37" s="162"/>
      <c r="J37" s="162"/>
      <c r="K37" s="162"/>
      <c r="L37" s="163">
        <f>'Summary Board'!M32</f>
        <v>1274104822.5389028</v>
      </c>
      <c r="M37" s="144">
        <f t="shared" si="13"/>
        <v>1274104822.5389028</v>
      </c>
      <c r="N37" s="182"/>
    </row>
    <row r="38" spans="1:14" ht="14" x14ac:dyDescent="0.15">
      <c r="A38" s="126" t="s">
        <v>208</v>
      </c>
      <c r="B38" s="140"/>
      <c r="C38" s="140"/>
      <c r="D38" s="140"/>
      <c r="E38" s="140"/>
      <c r="F38" s="141"/>
      <c r="G38" s="141"/>
      <c r="H38" s="141"/>
      <c r="I38" s="142"/>
      <c r="J38" s="142"/>
      <c r="K38" s="142"/>
      <c r="L38" s="143">
        <f>'Summary Board'!M33</f>
        <v>-38223144.676167078</v>
      </c>
      <c r="M38" s="144">
        <f t="shared" si="13"/>
        <v>-38223144.676167078</v>
      </c>
      <c r="N38" s="182"/>
    </row>
    <row r="39" spans="1:14" ht="14" x14ac:dyDescent="0.15">
      <c r="A39" s="126" t="s">
        <v>209</v>
      </c>
      <c r="B39" s="140"/>
      <c r="C39" s="140"/>
      <c r="D39" s="140"/>
      <c r="E39" s="140"/>
      <c r="F39" s="141"/>
      <c r="G39" s="141"/>
      <c r="H39" s="141"/>
      <c r="I39" s="142"/>
      <c r="J39" s="142"/>
      <c r="K39" s="142"/>
      <c r="L39" s="143">
        <f>-L22</f>
        <v>-545052389.66840446</v>
      </c>
      <c r="M39" s="144">
        <f t="shared" si="13"/>
        <v>-545052389.66840446</v>
      </c>
      <c r="N39" s="182"/>
    </row>
    <row r="40" spans="1:14" ht="14" x14ac:dyDescent="0.15">
      <c r="A40" s="148" t="s">
        <v>210</v>
      </c>
      <c r="B40" s="149">
        <f t="shared" ref="B40:M40" si="15">SUM(B35:B39)</f>
        <v>-42340134.383743376</v>
      </c>
      <c r="C40" s="149">
        <f>SUM(C35:C39)</f>
        <v>-121426850.83020058</v>
      </c>
      <c r="D40" s="149">
        <f t="shared" si="15"/>
        <v>-3766876.981416794</v>
      </c>
      <c r="E40" s="149">
        <f t="shared" si="15"/>
        <v>20057388.902561706</v>
      </c>
      <c r="F40" s="150">
        <f t="shared" si="15"/>
        <v>14341837.77675599</v>
      </c>
      <c r="G40" s="150">
        <f t="shared" si="15"/>
        <v>16373638.566667356</v>
      </c>
      <c r="H40" s="150">
        <f t="shared" si="15"/>
        <v>35255743.744207449</v>
      </c>
      <c r="I40" s="151">
        <f t="shared" si="15"/>
        <v>30750709.420004148</v>
      </c>
      <c r="J40" s="151">
        <f t="shared" si="15"/>
        <v>25878172.638636496</v>
      </c>
      <c r="K40" s="151">
        <f t="shared" si="15"/>
        <v>40845701.000251502</v>
      </c>
      <c r="L40" s="152">
        <f t="shared" si="15"/>
        <v>733053345.22373974</v>
      </c>
      <c r="M40" s="153">
        <f t="shared" si="15"/>
        <v>749022675.07746351</v>
      </c>
    </row>
    <row r="41" spans="1:14" ht="14" x14ac:dyDescent="0.15">
      <c r="A41" s="176" t="s">
        <v>20</v>
      </c>
      <c r="B41" s="321">
        <f>B40+NPV(Assumptions!F40,C40:L40)</f>
        <v>226890166.07356617</v>
      </c>
      <c r="C41" s="140"/>
      <c r="D41" s="322"/>
      <c r="E41" s="322"/>
      <c r="F41" s="141"/>
      <c r="G41" s="141"/>
      <c r="H41" s="141"/>
      <c r="I41" s="142"/>
      <c r="J41" s="142"/>
      <c r="K41" s="142"/>
      <c r="L41" s="143"/>
      <c r="M41" s="181"/>
      <c r="N41" s="182"/>
    </row>
    <row r="42" spans="1:14" ht="15" thickBot="1" x14ac:dyDescent="0.2">
      <c r="A42" s="184" t="s">
        <v>67</v>
      </c>
      <c r="B42" s="323">
        <f>IRR(B40:L40)</f>
        <v>0.23052636420190709</v>
      </c>
      <c r="C42" s="324"/>
      <c r="D42" s="325"/>
      <c r="E42" s="325"/>
      <c r="F42" s="185"/>
      <c r="G42" s="185"/>
      <c r="H42" s="185"/>
      <c r="I42" s="186"/>
      <c r="J42" s="186"/>
      <c r="K42" s="186"/>
      <c r="L42" s="187"/>
      <c r="M42" s="188"/>
      <c r="N42" s="182"/>
    </row>
    <row r="43" spans="1:14" ht="14" x14ac:dyDescent="0.15">
      <c r="A43" s="189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1"/>
      <c r="N43" s="182"/>
    </row>
    <row r="44" spans="1:14" x14ac:dyDescent="0.15">
      <c r="A44" s="18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82"/>
      <c r="N44" s="182"/>
    </row>
    <row r="45" spans="1:14" x14ac:dyDescent="0.15">
      <c r="A45" s="18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82"/>
      <c r="N45" s="182"/>
    </row>
    <row r="46" spans="1:14" x14ac:dyDescent="0.15">
      <c r="A46" s="18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82"/>
      <c r="N46" s="182"/>
    </row>
    <row r="47" spans="1:14" x14ac:dyDescent="0.15">
      <c r="A47" s="18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82"/>
      <c r="N47" s="182"/>
    </row>
    <row r="48" spans="1:14" x14ac:dyDescent="0.15">
      <c r="A48" s="18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82"/>
      <c r="N48" s="182"/>
    </row>
    <row r="49" spans="1:14" x14ac:dyDescent="0.15">
      <c r="A49" s="18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82"/>
      <c r="N49" s="182"/>
    </row>
    <row r="50" spans="1:14" x14ac:dyDescent="0.15">
      <c r="A50" s="18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82"/>
      <c r="N50" s="182"/>
    </row>
    <row r="51" spans="1:14" x14ac:dyDescent="0.15">
      <c r="A51" s="18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82"/>
      <c r="N51" s="182"/>
    </row>
    <row r="52" spans="1:14" x14ac:dyDescent="0.15">
      <c r="A52" s="18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82"/>
      <c r="N52" s="182"/>
    </row>
    <row r="53" spans="1:14" x14ac:dyDescent="0.15">
      <c r="A53" s="182"/>
      <c r="B53" s="193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</row>
    <row r="54" spans="1:14" x14ac:dyDescent="0.15">
      <c r="A54" s="18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82"/>
      <c r="N54" s="182"/>
    </row>
    <row r="55" spans="1:14" x14ac:dyDescent="0.15">
      <c r="B55" s="194"/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BBB03-6D5A-4F73-B612-36F46929102A}">
  <dimension ref="A1:M70"/>
  <sheetViews>
    <sheetView workbookViewId="0">
      <selection activeCell="K7" sqref="K7:L11"/>
    </sheetView>
  </sheetViews>
  <sheetFormatPr baseColWidth="10" defaultColWidth="9" defaultRowHeight="13" x14ac:dyDescent="0.15"/>
  <cols>
    <col min="1" max="1" width="9" style="468"/>
    <col min="2" max="2" width="18.6640625" style="468" bestFit="1" customWidth="1"/>
    <col min="3" max="3" width="9.33203125" style="468" bestFit="1" customWidth="1"/>
    <col min="4" max="16384" width="9" style="468"/>
  </cols>
  <sheetData>
    <row r="1" spans="1:13" ht="16" x14ac:dyDescent="0.2">
      <c r="A1" s="467" t="s">
        <v>302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13" ht="14" x14ac:dyDescent="0.15">
      <c r="A2" s="402"/>
      <c r="B2" s="401"/>
      <c r="C2" s="484"/>
      <c r="D2" s="484"/>
      <c r="E2" s="484"/>
      <c r="F2" s="484"/>
      <c r="G2" s="484"/>
      <c r="H2" s="402"/>
      <c r="I2" s="402"/>
      <c r="J2" s="402"/>
      <c r="K2" s="402"/>
      <c r="L2" s="402"/>
      <c r="M2" s="402"/>
    </row>
    <row r="3" spans="1:13" ht="15" customHeight="1" x14ac:dyDescent="0.15">
      <c r="A3" s="402"/>
      <c r="B3" s="713" t="s">
        <v>152</v>
      </c>
      <c r="C3" s="470"/>
      <c r="D3" s="470"/>
      <c r="E3" s="470"/>
      <c r="F3" s="470"/>
      <c r="G3" s="470"/>
      <c r="H3" s="470"/>
      <c r="I3" s="470"/>
      <c r="J3" s="471"/>
      <c r="K3" s="402"/>
      <c r="L3" s="402"/>
    </row>
    <row r="4" spans="1:13" ht="14" x14ac:dyDescent="0.15">
      <c r="A4" s="402"/>
      <c r="B4" s="714"/>
      <c r="C4" s="711" t="s">
        <v>35</v>
      </c>
      <c r="D4" s="712"/>
      <c r="E4" s="711" t="s">
        <v>153</v>
      </c>
      <c r="F4" s="712"/>
      <c r="G4" s="711" t="s">
        <v>154</v>
      </c>
      <c r="H4" s="712"/>
      <c r="I4" s="711" t="s">
        <v>155</v>
      </c>
      <c r="J4" s="712"/>
      <c r="K4" s="402"/>
      <c r="L4" s="402"/>
      <c r="M4" s="469"/>
    </row>
    <row r="5" spans="1:13" x14ac:dyDescent="0.15">
      <c r="A5" s="402"/>
      <c r="B5" s="472"/>
      <c r="C5" s="473" t="s">
        <v>110</v>
      </c>
      <c r="D5" s="473" t="s">
        <v>112</v>
      </c>
      <c r="E5" s="473" t="s">
        <v>110</v>
      </c>
      <c r="F5" s="473" t="s">
        <v>112</v>
      </c>
      <c r="G5" s="473" t="s">
        <v>110</v>
      </c>
      <c r="H5" s="473" t="s">
        <v>112</v>
      </c>
      <c r="I5" s="473" t="s">
        <v>110</v>
      </c>
      <c r="J5" s="473" t="s">
        <v>112</v>
      </c>
      <c r="K5" s="402"/>
      <c r="L5" s="402"/>
      <c r="M5" s="1"/>
    </row>
    <row r="6" spans="1:13" x14ac:dyDescent="0.15">
      <c r="A6" s="402"/>
      <c r="B6" s="474" t="s">
        <v>158</v>
      </c>
      <c r="C6" s="475">
        <f t="shared" ref="C6:H6" si="0">SUM(C7:C9)</f>
        <v>388215.15978883806</v>
      </c>
      <c r="D6" s="476">
        <f t="shared" si="0"/>
        <v>497.87319510623604</v>
      </c>
      <c r="E6" s="477">
        <f t="shared" si="0"/>
        <v>319988.46063531359</v>
      </c>
      <c r="F6" s="476">
        <f t="shared" si="0"/>
        <v>417.35247663940316</v>
      </c>
      <c r="G6" s="477">
        <f t="shared" si="0"/>
        <v>429303.94749251503</v>
      </c>
      <c r="H6" s="476">
        <f t="shared" si="0"/>
        <v>373.64118891133501</v>
      </c>
      <c r="I6" s="477">
        <f>IF(SUM(I7:I9)=0," ",SUM(I7:I9))</f>
        <v>1137507.5679166666</v>
      </c>
      <c r="J6" s="476">
        <f>IF(SUM(J7:J9)=0," ",SUM(J7:J9))</f>
        <v>1288.866860656974</v>
      </c>
      <c r="K6" s="510"/>
      <c r="L6" s="402"/>
      <c r="M6" s="1"/>
    </row>
    <row r="7" spans="1:13" x14ac:dyDescent="0.15">
      <c r="A7" s="402"/>
      <c r="B7" s="485" t="s">
        <v>105</v>
      </c>
      <c r="C7" s="486">
        <f t="shared" ref="C7:D9" si="1">SUM(C24,E24,G24)</f>
        <v>116869.4</v>
      </c>
      <c r="D7" s="486">
        <f t="shared" si="1"/>
        <v>194.78233333333336</v>
      </c>
      <c r="E7" s="486">
        <f t="shared" ref="E7:F9" si="2">SUM(C41,E41,G41)</f>
        <v>94504.2</v>
      </c>
      <c r="F7" s="486">
        <f t="shared" si="2"/>
        <v>157.50700000000001</v>
      </c>
      <c r="G7" s="486">
        <f>C58+E58</f>
        <v>107621.6</v>
      </c>
      <c r="H7" s="486">
        <f>D58+F58</f>
        <v>117.96966666666667</v>
      </c>
      <c r="I7" s="486">
        <f t="shared" ref="I7:J9" si="3">+C7+E7+G7</f>
        <v>318995.19999999995</v>
      </c>
      <c r="J7" s="487">
        <f t="shared" si="3"/>
        <v>470.25900000000007</v>
      </c>
      <c r="K7" s="402"/>
      <c r="L7" s="509"/>
      <c r="M7" s="1"/>
    </row>
    <row r="8" spans="1:13" x14ac:dyDescent="0.15">
      <c r="A8" s="402"/>
      <c r="B8" s="485" t="s">
        <v>159</v>
      </c>
      <c r="C8" s="486">
        <f t="shared" si="1"/>
        <v>176477.1</v>
      </c>
      <c r="D8" s="486">
        <f t="shared" si="1"/>
        <v>220.59637499999999</v>
      </c>
      <c r="E8" s="486">
        <f t="shared" si="2"/>
        <v>167629.79999999999</v>
      </c>
      <c r="F8" s="486">
        <f t="shared" si="2"/>
        <v>209.53725</v>
      </c>
      <c r="G8" s="486">
        <f t="shared" ref="G8:G9" si="4">C59+E59</f>
        <v>269054</v>
      </c>
      <c r="H8" s="486">
        <f>D59+F59</f>
        <v>226.85775000000001</v>
      </c>
      <c r="I8" s="486">
        <f t="shared" si="3"/>
        <v>613160.9</v>
      </c>
      <c r="J8" s="487">
        <f t="shared" si="3"/>
        <v>656.99137500000006</v>
      </c>
      <c r="K8" s="402"/>
      <c r="L8" s="402"/>
    </row>
    <row r="9" spans="1:13" x14ac:dyDescent="0.15">
      <c r="A9" s="402"/>
      <c r="B9" s="479" t="s">
        <v>160</v>
      </c>
      <c r="C9" s="478">
        <f t="shared" si="1"/>
        <v>94868.659788838064</v>
      </c>
      <c r="D9" s="478">
        <f t="shared" si="1"/>
        <v>82.494486772902661</v>
      </c>
      <c r="E9" s="478">
        <f t="shared" si="2"/>
        <v>57854.460635313575</v>
      </c>
      <c r="F9" s="478">
        <f t="shared" si="2"/>
        <v>50.308226639403117</v>
      </c>
      <c r="G9" s="478">
        <f t="shared" si="4"/>
        <v>52628.347492515037</v>
      </c>
      <c r="H9" s="478">
        <f>D60+F60</f>
        <v>28.8137722446683</v>
      </c>
      <c r="I9" s="478">
        <f t="shared" si="3"/>
        <v>205351.4679166667</v>
      </c>
      <c r="J9" s="480">
        <f t="shared" si="3"/>
        <v>161.61648565697408</v>
      </c>
      <c r="K9" s="402"/>
      <c r="L9" s="402"/>
    </row>
    <row r="10" spans="1:13" x14ac:dyDescent="0.15">
      <c r="A10" s="402"/>
      <c r="B10" s="474" t="s">
        <v>136</v>
      </c>
      <c r="C10" s="477">
        <f t="shared" ref="C10:H10" si="5">SUM(C11:C13)</f>
        <v>196131.84021116194</v>
      </c>
      <c r="D10" s="475">
        <f t="shared" si="5"/>
        <v>170.54942627057562</v>
      </c>
      <c r="E10" s="475">
        <f t="shared" si="5"/>
        <v>119608.53936468641</v>
      </c>
      <c r="F10" s="476">
        <f t="shared" si="5"/>
        <v>158.26525864994045</v>
      </c>
      <c r="G10" s="475">
        <f t="shared" si="5"/>
        <v>108804.05250748497</v>
      </c>
      <c r="H10" s="476">
        <f t="shared" si="5"/>
        <v>40.354386456295536</v>
      </c>
      <c r="I10" s="477">
        <f>IF(SUM(I11:I13)=0," ",SUM(I11:I13))</f>
        <v>424544.43208333332</v>
      </c>
      <c r="J10" s="476">
        <f>IF(SUM(J11:J13)=0," ",SUM(J11:J13))</f>
        <v>369.16907137681159</v>
      </c>
      <c r="K10" s="509"/>
      <c r="L10" s="402"/>
    </row>
    <row r="11" spans="1:13" x14ac:dyDescent="0.15">
      <c r="A11" s="402"/>
      <c r="B11" s="485" t="s">
        <v>105</v>
      </c>
      <c r="C11" s="486"/>
      <c r="D11" s="486"/>
      <c r="E11" s="486"/>
      <c r="F11" s="486"/>
      <c r="G11" s="486"/>
      <c r="H11" s="486"/>
      <c r="I11" s="486"/>
      <c r="J11" s="487"/>
      <c r="K11" s="402"/>
      <c r="L11" s="402"/>
    </row>
    <row r="12" spans="1:13" x14ac:dyDescent="0.15">
      <c r="A12" s="402"/>
      <c r="B12" s="485" t="s">
        <v>159</v>
      </c>
      <c r="C12" s="486"/>
      <c r="D12" s="486"/>
      <c r="E12" s="486"/>
      <c r="F12" s="486"/>
      <c r="G12" s="486"/>
      <c r="H12" s="486"/>
      <c r="I12" s="486"/>
      <c r="J12" s="487"/>
      <c r="K12" s="402"/>
      <c r="L12" s="402"/>
    </row>
    <row r="13" spans="1:13" x14ac:dyDescent="0.15">
      <c r="A13" s="402"/>
      <c r="B13" s="488" t="s">
        <v>160</v>
      </c>
      <c r="C13" s="486">
        <f>SUM(C30,E30,G30)</f>
        <v>196131.84021116194</v>
      </c>
      <c r="D13" s="486">
        <f>SUM(D30,F30,H30)</f>
        <v>170.54942627057562</v>
      </c>
      <c r="E13" s="486">
        <f>SUM(C47,E47,G47)</f>
        <v>119608.53936468641</v>
      </c>
      <c r="F13" s="486">
        <f>SUM(D47,F47,F64,H47)</f>
        <v>158.26525864994045</v>
      </c>
      <c r="G13" s="486">
        <f>C64+E64</f>
        <v>108804.05250748497</v>
      </c>
      <c r="H13" s="486">
        <f>D64</f>
        <v>40.354386456295536</v>
      </c>
      <c r="I13" s="486">
        <f t="shared" ref="I13:J16" si="6">+C13+E13+G13</f>
        <v>424544.43208333332</v>
      </c>
      <c r="J13" s="489">
        <f t="shared" si="6"/>
        <v>369.16907137681159</v>
      </c>
      <c r="K13" s="402"/>
      <c r="L13" s="402"/>
    </row>
    <row r="14" spans="1:13" x14ac:dyDescent="0.15">
      <c r="A14" s="402"/>
      <c r="B14" s="474" t="s">
        <v>52</v>
      </c>
      <c r="C14" s="477">
        <f>SUM(C31,E31,G31)</f>
        <v>110707.09674589979</v>
      </c>
      <c r="D14" s="477"/>
      <c r="E14" s="477">
        <f>SUM(C48,E48,G48)</f>
        <v>206566</v>
      </c>
      <c r="F14" s="476"/>
      <c r="G14" s="477">
        <f>C65+E65</f>
        <v>128726</v>
      </c>
      <c r="H14" s="476"/>
      <c r="I14" s="477">
        <f t="shared" si="6"/>
        <v>445999.09674589976</v>
      </c>
      <c r="J14" s="476">
        <f t="shared" si="6"/>
        <v>0</v>
      </c>
      <c r="K14" s="402"/>
      <c r="L14" s="402"/>
    </row>
    <row r="15" spans="1:13" x14ac:dyDescent="0.15">
      <c r="A15" s="402"/>
      <c r="B15" s="474" t="s">
        <v>138</v>
      </c>
      <c r="C15" s="477">
        <f>SUM(C32,E32,G32)</f>
        <v>416910.97499999998</v>
      </c>
      <c r="D15" s="477"/>
      <c r="E15" s="477">
        <f>SUM(C49,E49,G49)</f>
        <v>210386.47500000001</v>
      </c>
      <c r="F15" s="476"/>
      <c r="G15" s="477">
        <f>C66</f>
        <v>176732.85</v>
      </c>
      <c r="H15" s="476"/>
      <c r="I15" s="477">
        <f t="shared" si="6"/>
        <v>804030.29999999993</v>
      </c>
      <c r="J15" s="476">
        <f t="shared" si="6"/>
        <v>0</v>
      </c>
      <c r="K15" s="402"/>
      <c r="L15" s="402"/>
    </row>
    <row r="16" spans="1:13" x14ac:dyDescent="0.15">
      <c r="A16" s="402"/>
      <c r="B16" s="474" t="s">
        <v>53</v>
      </c>
      <c r="C16" s="477">
        <f>SUM(C33,E33,G33)</f>
        <v>167417.60000000001</v>
      </c>
      <c r="D16" s="477"/>
      <c r="E16" s="477">
        <f>SUM(C50,E50,G50)</f>
        <v>20280</v>
      </c>
      <c r="F16" s="476"/>
      <c r="G16" s="477">
        <f>C67</f>
        <v>0</v>
      </c>
      <c r="H16" s="476"/>
      <c r="I16" s="477">
        <f t="shared" si="6"/>
        <v>187697.6</v>
      </c>
      <c r="J16" s="476">
        <f t="shared" si="6"/>
        <v>0</v>
      </c>
      <c r="K16" s="402"/>
      <c r="L16" s="402"/>
    </row>
    <row r="17" spans="1:12" x14ac:dyDescent="0.15">
      <c r="A17" s="402"/>
      <c r="B17" s="490" t="s">
        <v>28</v>
      </c>
      <c r="C17" s="491">
        <f t="shared" ref="C17:I17" si="7">C6+C10+C14+C15+C16</f>
        <v>1279382.6717458998</v>
      </c>
      <c r="D17" s="491">
        <f>D6+D10</f>
        <v>668.42262137681166</v>
      </c>
      <c r="E17" s="491">
        <f t="shared" si="7"/>
        <v>876829.47499999998</v>
      </c>
      <c r="F17" s="491">
        <f>F6+F10</f>
        <v>575.61773528934361</v>
      </c>
      <c r="G17" s="491">
        <f t="shared" si="7"/>
        <v>843566.85</v>
      </c>
      <c r="H17" s="511">
        <f>H6+H10</f>
        <v>413.99557536763052</v>
      </c>
      <c r="I17" s="491">
        <f t="shared" si="7"/>
        <v>2999778.9967458998</v>
      </c>
      <c r="J17" s="511">
        <f>J6+J10</f>
        <v>1658.0359320337857</v>
      </c>
      <c r="K17" s="402"/>
      <c r="L17" s="402"/>
    </row>
    <row r="18" spans="1:12" x14ac:dyDescent="0.15">
      <c r="A18" s="402"/>
      <c r="B18" s="512" t="s">
        <v>236</v>
      </c>
      <c r="C18" s="513">
        <f>C17/$I$17</f>
        <v>0.42649230931136878</v>
      </c>
      <c r="D18" s="514"/>
      <c r="E18" s="513">
        <f>E17/$I$17</f>
        <v>0.29229802460486826</v>
      </c>
      <c r="F18" s="514"/>
      <c r="G18" s="513">
        <f>G17/$I$17</f>
        <v>0.28120966608376297</v>
      </c>
      <c r="H18" s="512"/>
      <c r="I18" s="513">
        <f>I17/$I$17</f>
        <v>1</v>
      </c>
      <c r="J18" s="512"/>
      <c r="K18" s="402"/>
      <c r="L18" s="402"/>
    </row>
    <row r="19" spans="1:12" x14ac:dyDescent="0.15">
      <c r="A19" s="402"/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</row>
    <row r="20" spans="1:12" ht="14.25" customHeight="1" x14ac:dyDescent="0.15">
      <c r="A20" s="402"/>
      <c r="B20" s="715" t="s">
        <v>35</v>
      </c>
      <c r="C20" s="508"/>
      <c r="D20" s="492"/>
      <c r="E20" s="492"/>
      <c r="F20" s="492"/>
      <c r="G20" s="492"/>
      <c r="H20" s="493"/>
      <c r="I20" s="402"/>
      <c r="J20" s="402"/>
      <c r="K20" s="402"/>
      <c r="L20" s="402"/>
    </row>
    <row r="21" spans="1:12" ht="14.25" customHeight="1" x14ac:dyDescent="0.15">
      <c r="A21" s="402"/>
      <c r="B21" s="716"/>
      <c r="C21" s="710" t="s">
        <v>162</v>
      </c>
      <c r="D21" s="710"/>
      <c r="E21" s="710" t="s">
        <v>163</v>
      </c>
      <c r="F21" s="710"/>
      <c r="G21" s="710" t="s">
        <v>133</v>
      </c>
      <c r="H21" s="710"/>
      <c r="I21" s="402"/>
      <c r="J21" s="402"/>
      <c r="K21" s="402"/>
      <c r="L21" s="402"/>
    </row>
    <row r="22" spans="1:12" x14ac:dyDescent="0.15">
      <c r="A22" s="402"/>
      <c r="B22" s="494"/>
      <c r="C22" s="495" t="s">
        <v>110</v>
      </c>
      <c r="D22" s="495" t="s">
        <v>112</v>
      </c>
      <c r="E22" s="495" t="s">
        <v>110</v>
      </c>
      <c r="F22" s="495" t="s">
        <v>112</v>
      </c>
      <c r="G22" s="495" t="s">
        <v>110</v>
      </c>
      <c r="H22" s="495" t="s">
        <v>112</v>
      </c>
      <c r="I22" s="402"/>
      <c r="J22" s="402"/>
      <c r="K22" s="402"/>
      <c r="L22" s="402"/>
    </row>
    <row r="23" spans="1:12" x14ac:dyDescent="0.15">
      <c r="A23" s="402"/>
      <c r="B23" s="474" t="s">
        <v>158</v>
      </c>
      <c r="C23" s="477">
        <f t="shared" ref="C23:H23" si="8">SUM(C24:C26)</f>
        <v>275020.14653385151</v>
      </c>
      <c r="D23" s="477">
        <f t="shared" si="8"/>
        <v>352.61925604392889</v>
      </c>
      <c r="E23" s="477">
        <f t="shared" si="8"/>
        <v>39208.346164113653</v>
      </c>
      <c r="F23" s="476">
        <f t="shared" si="8"/>
        <v>51.662761157200272</v>
      </c>
      <c r="G23" s="477">
        <f t="shared" si="8"/>
        <v>73986.66709087287</v>
      </c>
      <c r="H23" s="476">
        <f t="shared" si="8"/>
        <v>93.591177905106861</v>
      </c>
      <c r="I23" s="509"/>
      <c r="J23" s="402"/>
      <c r="K23" s="510"/>
      <c r="L23" s="402"/>
    </row>
    <row r="24" spans="1:12" x14ac:dyDescent="0.15">
      <c r="A24" s="402"/>
      <c r="B24" s="485" t="s">
        <v>105</v>
      </c>
      <c r="C24" s="496">
        <f>'Apartment Mix'!F20</f>
        <v>82961.8</v>
      </c>
      <c r="D24" s="486">
        <f>'Apartment Mix'!F21</f>
        <v>138.26966666666667</v>
      </c>
      <c r="E24" s="486">
        <f>'Apartment Mix'!F32</f>
        <v>9063.4</v>
      </c>
      <c r="F24" s="487">
        <f>'Apartment Mix'!F33</f>
        <v>15.105666666666666</v>
      </c>
      <c r="G24" s="486">
        <f t="shared" ref="G24:H26" si="9">G41</f>
        <v>24844.2</v>
      </c>
      <c r="H24" s="487">
        <f t="shared" si="9"/>
        <v>41.407000000000004</v>
      </c>
      <c r="I24" s="402"/>
      <c r="J24" s="402"/>
      <c r="K24" s="402"/>
      <c r="L24" s="402"/>
    </row>
    <row r="25" spans="1:12" x14ac:dyDescent="0.15">
      <c r="A25" s="402"/>
      <c r="B25" s="485" t="s">
        <v>159</v>
      </c>
      <c r="C25" s="496">
        <f>'Apartment Mix'!G20</f>
        <v>124442.7</v>
      </c>
      <c r="D25" s="486">
        <f>'Apartment Mix'!G21</f>
        <v>155.55337499999999</v>
      </c>
      <c r="E25" s="486">
        <f>'Apartment Mix'!G32</f>
        <v>27190.2</v>
      </c>
      <c r="F25" s="487">
        <f>'Apartment Mix'!G33</f>
        <v>33.987749999999998</v>
      </c>
      <c r="G25" s="486">
        <f t="shared" si="9"/>
        <v>24844.2</v>
      </c>
      <c r="H25" s="487">
        <f t="shared" si="9"/>
        <v>31.055250000000001</v>
      </c>
      <c r="I25" s="402"/>
      <c r="J25" s="402"/>
      <c r="K25" s="402"/>
      <c r="L25" s="402"/>
    </row>
    <row r="26" spans="1:12" x14ac:dyDescent="0.15">
      <c r="A26" s="402"/>
      <c r="B26" s="488" t="s">
        <v>160</v>
      </c>
      <c r="C26" s="496">
        <f>'Apartment Mix'!H20*(1-'Apartment Mix'!$I$45)</f>
        <v>67615.646533851541</v>
      </c>
      <c r="D26" s="497">
        <f>'Apartment Mix'!H21*(1-'Apartment Mix'!$I$45)</f>
        <v>58.79621437726221</v>
      </c>
      <c r="E26" s="497">
        <f>'Apartment Mix'!H32*(1-'Apartment Mix'!$I$45)</f>
        <v>2954.746164113652</v>
      </c>
      <c r="F26" s="489">
        <f>'Apartment Mix'!H33*(1-'Apartment Mix'!$I$45)</f>
        <v>2.5693444905336107</v>
      </c>
      <c r="G26" s="486">
        <f t="shared" si="9"/>
        <v>24298.267090872872</v>
      </c>
      <c r="H26" s="487">
        <f t="shared" si="9"/>
        <v>21.128927905106845</v>
      </c>
      <c r="I26" s="402"/>
      <c r="J26" s="402"/>
      <c r="K26" s="402"/>
      <c r="L26" s="402"/>
    </row>
    <row r="27" spans="1:12" x14ac:dyDescent="0.15">
      <c r="A27" s="402"/>
      <c r="B27" s="474" t="s">
        <v>136</v>
      </c>
      <c r="C27" s="477">
        <f t="shared" ref="C27:H27" si="10">SUM(C28:C30)</f>
        <v>139788.85346614846</v>
      </c>
      <c r="D27" s="476">
        <f t="shared" si="10"/>
        <v>121.55552475317259</v>
      </c>
      <c r="E27" s="477">
        <f t="shared" si="10"/>
        <v>6108.6538358863472</v>
      </c>
      <c r="F27" s="476">
        <f t="shared" si="10"/>
        <v>5.3118729007707373</v>
      </c>
      <c r="G27" s="477">
        <f t="shared" si="10"/>
        <v>50234.332909127123</v>
      </c>
      <c r="H27" s="476">
        <f t="shared" si="10"/>
        <v>43.68202861663228</v>
      </c>
      <c r="I27" s="509"/>
      <c r="J27" s="402"/>
      <c r="K27" s="402"/>
      <c r="L27" s="402"/>
    </row>
    <row r="28" spans="1:12" x14ac:dyDescent="0.15">
      <c r="A28" s="402"/>
      <c r="B28" s="485" t="s">
        <v>105</v>
      </c>
      <c r="C28" s="486"/>
      <c r="D28" s="498"/>
      <c r="E28" s="486"/>
      <c r="F28" s="487"/>
      <c r="G28" s="486"/>
      <c r="H28" s="487"/>
      <c r="I28" s="402"/>
      <c r="J28" s="402"/>
      <c r="K28" s="402"/>
      <c r="L28" s="402"/>
    </row>
    <row r="29" spans="1:12" x14ac:dyDescent="0.15">
      <c r="A29" s="402"/>
      <c r="B29" s="485" t="s">
        <v>159</v>
      </c>
      <c r="C29" s="486"/>
      <c r="D29" s="498"/>
      <c r="E29" s="499"/>
      <c r="F29" s="498"/>
      <c r="G29" s="486"/>
      <c r="H29" s="498"/>
      <c r="I29" s="402"/>
      <c r="J29" s="402"/>
      <c r="K29" s="402"/>
      <c r="L29" s="402"/>
    </row>
    <row r="30" spans="1:12" x14ac:dyDescent="0.15">
      <c r="A30" s="402"/>
      <c r="B30" s="488" t="s">
        <v>160</v>
      </c>
      <c r="C30" s="486">
        <f>'Apartment Mix'!H20*'Apartment Mix'!$I$45</f>
        <v>139788.85346614846</v>
      </c>
      <c r="D30" s="486">
        <f>'Apartment Mix'!H21*'Apartment Mix'!I45</f>
        <v>121.55552475317259</v>
      </c>
      <c r="E30" s="486">
        <f>'Apartment Mix'!H32*'Apartment Mix'!I45</f>
        <v>6108.6538358863472</v>
      </c>
      <c r="F30" s="486">
        <f>'Apartment Mix'!H33*'Apartment Mix'!I45</f>
        <v>5.3118729007707373</v>
      </c>
      <c r="G30" s="486">
        <f>G47</f>
        <v>50234.332909127123</v>
      </c>
      <c r="H30" s="489">
        <f>H47</f>
        <v>43.68202861663228</v>
      </c>
      <c r="I30" s="402"/>
      <c r="J30" s="402"/>
      <c r="K30" s="402"/>
      <c r="L30" s="402"/>
    </row>
    <row r="31" spans="1:12" x14ac:dyDescent="0.15">
      <c r="A31" s="402"/>
      <c r="B31" s="474" t="s">
        <v>52</v>
      </c>
      <c r="C31" s="477">
        <v>75740.096745899791</v>
      </c>
      <c r="D31" s="476"/>
      <c r="E31" s="477">
        <f>Assumptions!M26</f>
        <v>24297</v>
      </c>
      <c r="F31" s="476"/>
      <c r="G31" s="477">
        <f>G48</f>
        <v>10670</v>
      </c>
      <c r="H31" s="476"/>
      <c r="I31" s="402"/>
      <c r="J31" s="402"/>
      <c r="K31" s="402"/>
      <c r="L31" s="402"/>
    </row>
    <row r="32" spans="1:12" x14ac:dyDescent="0.15">
      <c r="A32" s="402"/>
      <c r="B32" s="474" t="s">
        <v>138</v>
      </c>
      <c r="C32" s="477"/>
      <c r="D32" s="476"/>
      <c r="E32" s="477">
        <f>Assumptions!Q26</f>
        <v>206524.5</v>
      </c>
      <c r="F32" s="476"/>
      <c r="G32" s="477">
        <f>G49</f>
        <v>210386.47500000001</v>
      </c>
      <c r="H32" s="476"/>
      <c r="I32" s="402"/>
      <c r="J32" s="402"/>
      <c r="K32" s="402"/>
      <c r="L32" s="402"/>
    </row>
    <row r="33" spans="1:12" x14ac:dyDescent="0.15">
      <c r="A33" s="402"/>
      <c r="B33" s="474" t="s">
        <v>53</v>
      </c>
      <c r="C33" s="477">
        <f>Assumptions!S23</f>
        <v>147137.60000000001</v>
      </c>
      <c r="D33" s="476"/>
      <c r="E33" s="477"/>
      <c r="F33" s="476"/>
      <c r="G33" s="477">
        <f>G50</f>
        <v>20280</v>
      </c>
      <c r="H33" s="476"/>
      <c r="I33" s="402"/>
      <c r="J33" s="402"/>
      <c r="K33" s="402"/>
      <c r="L33" s="402"/>
    </row>
    <row r="34" spans="1:12" x14ac:dyDescent="0.15">
      <c r="A34" s="402"/>
      <c r="B34" s="500" t="s">
        <v>28</v>
      </c>
      <c r="C34" s="501">
        <f t="shared" ref="C34:H34" si="11">C23+C27+C31+C32+C33</f>
        <v>637686.69674589974</v>
      </c>
      <c r="D34" s="501">
        <f t="shared" si="11"/>
        <v>474.17478079710145</v>
      </c>
      <c r="E34" s="501">
        <f t="shared" si="11"/>
        <v>276138.5</v>
      </c>
      <c r="F34" s="501">
        <f t="shared" si="11"/>
        <v>56.974634057971009</v>
      </c>
      <c r="G34" s="501">
        <f t="shared" si="11"/>
        <v>365557.47499999998</v>
      </c>
      <c r="H34" s="502">
        <f t="shared" si="11"/>
        <v>137.27320652173916</v>
      </c>
      <c r="I34" s="402"/>
      <c r="J34" s="402"/>
      <c r="K34" s="402"/>
      <c r="L34" s="402"/>
    </row>
    <row r="35" spans="1:12" x14ac:dyDescent="0.15">
      <c r="A35" s="402"/>
      <c r="B35" s="402"/>
      <c r="C35" s="402"/>
      <c r="D35" s="402"/>
      <c r="E35" s="402"/>
      <c r="F35" s="402"/>
      <c r="G35" s="402"/>
      <c r="H35" s="402"/>
      <c r="I35" s="402"/>
      <c r="J35" s="402"/>
      <c r="K35" s="402"/>
      <c r="L35" s="402"/>
    </row>
    <row r="36" spans="1:12" x14ac:dyDescent="0.15">
      <c r="A36" s="402"/>
      <c r="B36" s="402"/>
      <c r="C36" s="402"/>
      <c r="D36" s="402"/>
      <c r="E36" s="402"/>
      <c r="F36" s="402"/>
      <c r="G36" s="503"/>
      <c r="H36" s="503"/>
      <c r="I36" s="506"/>
      <c r="J36" s="506"/>
      <c r="K36" s="402"/>
      <c r="L36" s="402"/>
    </row>
    <row r="37" spans="1:12" ht="13.25" customHeight="1" x14ac:dyDescent="0.15">
      <c r="A37" s="402"/>
      <c r="B37" s="717" t="s">
        <v>165</v>
      </c>
      <c r="C37" s="508"/>
      <c r="D37" s="492"/>
      <c r="E37" s="492"/>
      <c r="F37" s="492"/>
      <c r="G37" s="402"/>
      <c r="H37" s="507"/>
      <c r="I37" s="506"/>
      <c r="J37" s="506"/>
      <c r="K37" s="402"/>
      <c r="L37" s="402"/>
    </row>
    <row r="38" spans="1:12" ht="13.25" customHeight="1" x14ac:dyDescent="0.15">
      <c r="A38" s="402"/>
      <c r="B38" s="718"/>
      <c r="C38" s="710" t="s">
        <v>166</v>
      </c>
      <c r="D38" s="710"/>
      <c r="E38" s="710" t="s">
        <v>167</v>
      </c>
      <c r="F38" s="710"/>
      <c r="G38" s="710" t="s">
        <v>133</v>
      </c>
      <c r="H38" s="710"/>
      <c r="I38" s="402"/>
      <c r="J38" s="402"/>
      <c r="K38" s="402"/>
      <c r="L38" s="402"/>
    </row>
    <row r="39" spans="1:12" x14ac:dyDescent="0.15">
      <c r="A39" s="402"/>
      <c r="B39" s="472"/>
      <c r="C39" s="473" t="s">
        <v>110</v>
      </c>
      <c r="D39" s="473" t="s">
        <v>112</v>
      </c>
      <c r="E39" s="473" t="s">
        <v>110</v>
      </c>
      <c r="F39" s="473" t="s">
        <v>112</v>
      </c>
      <c r="G39" s="473" t="s">
        <v>110</v>
      </c>
      <c r="H39" s="473" t="s">
        <v>112</v>
      </c>
      <c r="I39" s="402"/>
      <c r="J39" s="402"/>
      <c r="K39" s="402"/>
      <c r="L39" s="402"/>
    </row>
    <row r="40" spans="1:12" x14ac:dyDescent="0.15">
      <c r="A40" s="402"/>
      <c r="B40" s="474" t="s">
        <v>158</v>
      </c>
      <c r="C40" s="477">
        <f t="shared" ref="C40:F40" si="12">SUM(C41:C43)</f>
        <v>246001.79354444068</v>
      </c>
      <c r="D40" s="476">
        <f t="shared" si="12"/>
        <v>323.76129873429625</v>
      </c>
      <c r="E40" s="477">
        <f t="shared" si="12"/>
        <v>0</v>
      </c>
      <c r="F40" s="476">
        <f t="shared" si="12"/>
        <v>0</v>
      </c>
      <c r="G40" s="477">
        <f>SUM(G41:G43)</f>
        <v>73986.66709087287</v>
      </c>
      <c r="H40" s="476">
        <f>SUM(H41:H43)</f>
        <v>93.591177905106861</v>
      </c>
      <c r="I40" s="402"/>
      <c r="J40" s="402"/>
      <c r="K40" s="402"/>
      <c r="L40" s="402"/>
    </row>
    <row r="41" spans="1:12" x14ac:dyDescent="0.15">
      <c r="A41" s="402"/>
      <c r="B41" s="485" t="s">
        <v>105</v>
      </c>
      <c r="C41" s="486">
        <f>SUM('Apartment Mix'!F5+'Apartment Mix'!F8+'Apartment Mix'!F14)</f>
        <v>69660</v>
      </c>
      <c r="D41" s="487">
        <f>'Apartment Mix'!F6+'Apartment Mix'!F9+'Apartment Mix'!F15</f>
        <v>116.1</v>
      </c>
      <c r="E41" s="486"/>
      <c r="F41" s="487"/>
      <c r="G41" s="486">
        <f>'Apartment Mix'!F35/2</f>
        <v>24844.2</v>
      </c>
      <c r="H41" s="487">
        <f>'Apartment Mix'!F36/2</f>
        <v>41.407000000000004</v>
      </c>
      <c r="I41" s="402"/>
      <c r="J41" s="402"/>
      <c r="K41" s="402"/>
      <c r="L41" s="402"/>
    </row>
    <row r="42" spans="1:12" x14ac:dyDescent="0.15">
      <c r="A42" s="402"/>
      <c r="B42" s="485" t="s">
        <v>159</v>
      </c>
      <c r="C42" s="486">
        <f>'Apartment Mix'!G5+'Apartment Mix'!G8+'Apartment Mix'!G14</f>
        <v>142785.59999999998</v>
      </c>
      <c r="D42" s="487">
        <f>'Apartment Mix'!G6+'Apartment Mix'!G9+'Apartment Mix'!G15</f>
        <v>178.482</v>
      </c>
      <c r="E42" s="486"/>
      <c r="F42" s="487"/>
      <c r="G42" s="486">
        <f>'Apartment Mix'!G35/2</f>
        <v>24844.2</v>
      </c>
      <c r="H42" s="487">
        <f>'Apartment Mix'!G36/2</f>
        <v>31.055250000000001</v>
      </c>
      <c r="I42" s="402"/>
      <c r="J42" s="402"/>
      <c r="K42" s="402"/>
      <c r="L42" s="402"/>
    </row>
    <row r="43" spans="1:12" x14ac:dyDescent="0.15">
      <c r="A43" s="402"/>
      <c r="B43" s="488" t="s">
        <v>160</v>
      </c>
      <c r="C43" s="497">
        <f>('Apartment Mix'!H5+'Apartment Mix'!H8+'Apartment Mix'!H14)*(1-'Apartment Mix'!$I$45)</f>
        <v>33556.193544440706</v>
      </c>
      <c r="D43" s="489">
        <f>('Apartment Mix'!H6+'Apartment Mix'!H9+'Apartment Mix'!H15)*(1-'Apartment Mix'!$I$45)</f>
        <v>29.179298734296268</v>
      </c>
      <c r="E43" s="497"/>
      <c r="F43" s="489"/>
      <c r="G43" s="486">
        <f>'Apartment Mix'!H35*(1-'Apartment Mix'!$I$45)/2</f>
        <v>24298.267090872872</v>
      </c>
      <c r="H43" s="487">
        <f>'Apartment Mix'!H36*(1-'Apartment Mix'!$I$45)/2</f>
        <v>21.128927905106845</v>
      </c>
      <c r="I43" s="402"/>
      <c r="J43" s="402"/>
      <c r="K43" s="402"/>
      <c r="L43" s="402"/>
    </row>
    <row r="44" spans="1:12" x14ac:dyDescent="0.15">
      <c r="A44" s="402"/>
      <c r="B44" s="474" t="s">
        <v>136</v>
      </c>
      <c r="C44" s="477">
        <f t="shared" ref="C44:F44" si="13">SUM(C45:C47)</f>
        <v>69374.206455559295</v>
      </c>
      <c r="D44" s="476">
        <f t="shared" si="13"/>
        <v>60.325396917877654</v>
      </c>
      <c r="E44" s="477">
        <f t="shared" si="13"/>
        <v>0</v>
      </c>
      <c r="F44" s="476">
        <f t="shared" si="13"/>
        <v>0</v>
      </c>
      <c r="G44" s="477">
        <f>SUM(G45:G47)</f>
        <v>50234.332909127123</v>
      </c>
      <c r="H44" s="476">
        <f>SUM(H45:H47)</f>
        <v>43.68202861663228</v>
      </c>
      <c r="I44" s="509"/>
      <c r="J44" s="509"/>
      <c r="K44" s="402"/>
      <c r="L44" s="402"/>
    </row>
    <row r="45" spans="1:12" x14ac:dyDescent="0.15">
      <c r="A45" s="402"/>
      <c r="B45" s="485" t="s">
        <v>105</v>
      </c>
      <c r="C45" s="486"/>
      <c r="D45" s="498"/>
      <c r="E45" s="486"/>
      <c r="F45" s="487"/>
      <c r="G45" s="486"/>
      <c r="H45" s="487"/>
      <c r="I45" s="402"/>
      <c r="J45" s="402"/>
      <c r="K45" s="402"/>
      <c r="L45" s="402"/>
    </row>
    <row r="46" spans="1:12" x14ac:dyDescent="0.15">
      <c r="A46" s="402"/>
      <c r="B46" s="485" t="s">
        <v>159</v>
      </c>
      <c r="C46" s="486"/>
      <c r="D46" s="498"/>
      <c r="E46" s="499"/>
      <c r="F46" s="498"/>
      <c r="G46" s="486"/>
      <c r="H46" s="498"/>
      <c r="I46" s="402"/>
      <c r="J46" s="402"/>
      <c r="K46" s="402"/>
      <c r="L46" s="402"/>
    </row>
    <row r="47" spans="1:12" x14ac:dyDescent="0.15">
      <c r="A47" s="402"/>
      <c r="B47" s="488" t="s">
        <v>160</v>
      </c>
      <c r="C47" s="486">
        <f>SUM('Apartment Mix'!H5,'Apartment Mix'!H8,'Apartment Mix'!H14)*'Apartment Mix'!$I$45</f>
        <v>69374.206455559295</v>
      </c>
      <c r="D47" s="489">
        <f>SUM('Apartment Mix'!H6,'Apartment Mix'!H9,'Apartment Mix'!H15)*'Apartment Mix'!$I$45</f>
        <v>60.325396917877654</v>
      </c>
      <c r="E47" s="504"/>
      <c r="F47" s="505"/>
      <c r="G47" s="486">
        <f>'Apartment Mix'!H35*'Apartment Mix'!I45/2</f>
        <v>50234.332909127123</v>
      </c>
      <c r="H47" s="489">
        <f>'Apartment Mix'!H36*'Apartment Mix'!I45/2</f>
        <v>43.68202861663228</v>
      </c>
      <c r="I47" s="402"/>
      <c r="J47" s="402"/>
      <c r="K47" s="402"/>
      <c r="L47" s="402"/>
    </row>
    <row r="48" spans="1:12" x14ac:dyDescent="0.15">
      <c r="A48" s="402"/>
      <c r="B48" s="474" t="s">
        <v>52</v>
      </c>
      <c r="C48" s="477">
        <f>SUM(Assumptions!M19:M21)</f>
        <v>127602</v>
      </c>
      <c r="D48" s="476"/>
      <c r="E48" s="477">
        <f>Assumptions!M22</f>
        <v>68294</v>
      </c>
      <c r="F48" s="476"/>
      <c r="G48" s="477">
        <f>Assumptions!M27/2</f>
        <v>10670</v>
      </c>
      <c r="H48" s="476"/>
      <c r="I48" s="402"/>
      <c r="J48" s="402"/>
      <c r="K48" s="402"/>
      <c r="L48" s="402"/>
    </row>
    <row r="49" spans="1:12" x14ac:dyDescent="0.15">
      <c r="A49" s="402"/>
      <c r="B49" s="474" t="s">
        <v>138</v>
      </c>
      <c r="C49" s="477"/>
      <c r="D49" s="476"/>
      <c r="E49" s="477"/>
      <c r="F49" s="476"/>
      <c r="G49" s="477">
        <f>Assumptions!Q27/2</f>
        <v>210386.47500000001</v>
      </c>
      <c r="H49" s="476"/>
      <c r="I49" s="402"/>
      <c r="J49" s="402"/>
      <c r="K49" s="402"/>
      <c r="L49" s="402"/>
    </row>
    <row r="50" spans="1:12" x14ac:dyDescent="0.15">
      <c r="A50" s="402"/>
      <c r="B50" s="474" t="s">
        <v>53</v>
      </c>
      <c r="C50" s="477"/>
      <c r="D50" s="476"/>
      <c r="E50" s="477"/>
      <c r="F50" s="476"/>
      <c r="G50" s="477">
        <f>Assumptions!S27/2</f>
        <v>20280</v>
      </c>
      <c r="H50" s="476"/>
      <c r="I50" s="402"/>
      <c r="J50" s="402"/>
      <c r="K50" s="402"/>
      <c r="L50" s="402"/>
    </row>
    <row r="51" spans="1:12" x14ac:dyDescent="0.15">
      <c r="A51" s="402"/>
      <c r="B51" s="500" t="s">
        <v>28</v>
      </c>
      <c r="C51" s="501">
        <f t="shared" ref="C51:F51" si="14">C40+C44+C48+C49+C50</f>
        <v>442978</v>
      </c>
      <c r="D51" s="501">
        <f t="shared" si="14"/>
        <v>384.08669565217389</v>
      </c>
      <c r="E51" s="501">
        <f t="shared" si="14"/>
        <v>68294</v>
      </c>
      <c r="F51" s="501">
        <f t="shared" si="14"/>
        <v>0</v>
      </c>
      <c r="G51" s="501">
        <f>G40+G44+G48+G49+G50</f>
        <v>365557.47499999998</v>
      </c>
      <c r="H51" s="502">
        <f>H40+H44+H48+H49+H50</f>
        <v>137.27320652173916</v>
      </c>
      <c r="I51" s="402"/>
      <c r="J51" s="402"/>
      <c r="K51" s="402"/>
      <c r="L51" s="402"/>
    </row>
    <row r="52" spans="1:12" x14ac:dyDescent="0.15">
      <c r="A52" s="402"/>
      <c r="B52" s="402"/>
      <c r="C52" s="402"/>
      <c r="D52" s="402"/>
      <c r="E52" s="402"/>
      <c r="F52" s="402"/>
      <c r="G52" s="402"/>
      <c r="H52" s="402"/>
      <c r="I52" s="402"/>
      <c r="J52" s="402"/>
      <c r="K52" s="402"/>
      <c r="L52" s="402"/>
    </row>
    <row r="53" spans="1:12" x14ac:dyDescent="0.15">
      <c r="A53" s="402"/>
      <c r="B53" s="402"/>
      <c r="C53" s="402"/>
      <c r="D53" s="402"/>
      <c r="E53" s="402"/>
      <c r="F53" s="402"/>
      <c r="G53" s="506"/>
      <c r="H53" s="506"/>
      <c r="I53" s="402"/>
      <c r="J53" s="402"/>
      <c r="K53" s="402"/>
      <c r="L53" s="402"/>
    </row>
    <row r="54" spans="1:12" ht="13.25" customHeight="1" x14ac:dyDescent="0.15">
      <c r="A54" s="402"/>
      <c r="B54" s="720" t="s">
        <v>169</v>
      </c>
      <c r="C54" s="492"/>
      <c r="D54" s="507"/>
      <c r="E54" s="508"/>
      <c r="F54" s="507"/>
      <c r="G54" s="506"/>
      <c r="H54" s="506"/>
      <c r="I54" s="402"/>
      <c r="J54" s="402"/>
      <c r="K54" s="402"/>
      <c r="L54" s="402"/>
    </row>
    <row r="55" spans="1:12" ht="13.25" customHeight="1" x14ac:dyDescent="0.15">
      <c r="A55" s="402"/>
      <c r="B55" s="721"/>
      <c r="C55" s="722" t="s">
        <v>170</v>
      </c>
      <c r="D55" s="719"/>
      <c r="E55" s="719" t="s">
        <v>168</v>
      </c>
      <c r="F55" s="719"/>
      <c r="G55" s="402"/>
      <c r="H55" s="506"/>
      <c r="I55" s="402"/>
      <c r="J55" s="402"/>
      <c r="K55" s="402"/>
      <c r="L55" s="402"/>
    </row>
    <row r="56" spans="1:12" x14ac:dyDescent="0.15">
      <c r="A56" s="402"/>
      <c r="B56" s="472"/>
      <c r="C56" s="495" t="s">
        <v>110</v>
      </c>
      <c r="D56" s="495" t="s">
        <v>112</v>
      </c>
      <c r="E56" s="495" t="s">
        <v>110</v>
      </c>
      <c r="F56" s="495" t="s">
        <v>112</v>
      </c>
      <c r="G56" s="402"/>
      <c r="H56" s="402"/>
      <c r="I56" s="402"/>
      <c r="J56" s="402"/>
      <c r="K56" s="402"/>
      <c r="L56" s="402"/>
    </row>
    <row r="57" spans="1:12" x14ac:dyDescent="0.15">
      <c r="A57" s="402"/>
      <c r="B57" s="474" t="s">
        <v>158</v>
      </c>
      <c r="C57" s="477">
        <f>SUM(C58:C60)</f>
        <v>183108.45557526016</v>
      </c>
      <c r="D57" s="476">
        <f>SUM(D58:D60)</f>
        <v>51.662761157200272</v>
      </c>
      <c r="E57" s="477">
        <f>SUM(E58:E60)</f>
        <v>246195.4919172549</v>
      </c>
      <c r="F57" s="476">
        <f>SUM(F58:F60)</f>
        <v>321.97842775413471</v>
      </c>
      <c r="G57" s="402"/>
      <c r="H57" s="509"/>
      <c r="I57" s="509"/>
      <c r="J57" s="402"/>
      <c r="K57" s="402"/>
      <c r="L57" s="402"/>
    </row>
    <row r="58" spans="1:12" x14ac:dyDescent="0.15">
      <c r="A58" s="402"/>
      <c r="B58" s="485" t="s">
        <v>105</v>
      </c>
      <c r="C58" s="486">
        <f>'Apartment Mix'!F26</f>
        <v>45903.200000000004</v>
      </c>
      <c r="D58" s="487">
        <f>'Apartment Mix'!F33</f>
        <v>15.105666666666666</v>
      </c>
      <c r="E58" s="486">
        <f>'Apartment Mix'!F23</f>
        <v>61718.400000000001</v>
      </c>
      <c r="F58" s="487">
        <f>'Apartment Mix'!F24</f>
        <v>102.864</v>
      </c>
      <c r="G58" s="402"/>
      <c r="H58" s="402"/>
      <c r="I58" s="402"/>
      <c r="J58" s="402"/>
      <c r="K58" s="402"/>
      <c r="L58" s="402"/>
    </row>
    <row r="59" spans="1:12" x14ac:dyDescent="0.15">
      <c r="A59" s="402"/>
      <c r="B59" s="485" t="s">
        <v>159</v>
      </c>
      <c r="C59" s="486">
        <f>'Apartment Mix'!G26</f>
        <v>114758</v>
      </c>
      <c r="D59" s="487">
        <f>'Apartment Mix'!G33</f>
        <v>33.987749999999998</v>
      </c>
      <c r="E59" s="486">
        <f>'Apartment Mix'!G23</f>
        <v>154296</v>
      </c>
      <c r="F59" s="487">
        <f>'Apartment Mix'!G24</f>
        <v>192.87</v>
      </c>
      <c r="G59" s="402"/>
      <c r="H59" s="402"/>
      <c r="I59" s="402"/>
      <c r="J59" s="402"/>
      <c r="K59" s="402"/>
      <c r="L59" s="402"/>
    </row>
    <row r="60" spans="1:12" x14ac:dyDescent="0.15">
      <c r="A60" s="402"/>
      <c r="B60" s="488" t="s">
        <v>160</v>
      </c>
      <c r="C60" s="497">
        <f>'Apartment Mix'!H26*(1-'Apartment Mix'!$I$45)</f>
        <v>22447.255575260137</v>
      </c>
      <c r="D60" s="489">
        <f>'Apartment Mix'!H33*(1-'Apartment Mix'!$I$45)</f>
        <v>2.5693444905336107</v>
      </c>
      <c r="E60" s="486">
        <f>'Apartment Mix'!H23*(1-'Apartment Mix'!$I$45)</f>
        <v>30181.091917254897</v>
      </c>
      <c r="F60" s="489">
        <f>'Apartment Mix'!H24*(1-'Apartment Mix'!$I$45)</f>
        <v>26.244427754134691</v>
      </c>
      <c r="G60" s="402"/>
      <c r="H60" s="402"/>
      <c r="I60" s="402"/>
      <c r="J60" s="402"/>
      <c r="K60" s="402"/>
      <c r="L60" s="402"/>
    </row>
    <row r="61" spans="1:12" x14ac:dyDescent="0.15">
      <c r="A61" s="402"/>
      <c r="B61" s="474" t="s">
        <v>136</v>
      </c>
      <c r="C61" s="477">
        <f>SUM(C62:C64)</f>
        <v>46407.54442473987</v>
      </c>
      <c r="D61" s="476">
        <f>SUM(D62:D64)</f>
        <v>40.354386456295536</v>
      </c>
      <c r="E61" s="477">
        <f>SUM(E62:E64)</f>
        <v>62396.508082745095</v>
      </c>
      <c r="F61" s="476">
        <f>SUM(F62:F64)</f>
        <v>54.257833115430515</v>
      </c>
      <c r="G61" s="402"/>
      <c r="H61" s="402"/>
      <c r="I61" s="402"/>
      <c r="J61" s="402"/>
      <c r="K61" s="402"/>
      <c r="L61" s="402"/>
    </row>
    <row r="62" spans="1:12" x14ac:dyDescent="0.15">
      <c r="A62" s="402"/>
      <c r="B62" s="485" t="s">
        <v>105</v>
      </c>
      <c r="C62" s="486"/>
      <c r="D62" s="487"/>
      <c r="E62" s="486"/>
      <c r="F62" s="498"/>
      <c r="G62" s="402"/>
      <c r="H62" s="402"/>
      <c r="I62" s="402"/>
      <c r="J62" s="402"/>
      <c r="K62" s="402"/>
      <c r="L62" s="402"/>
    </row>
    <row r="63" spans="1:12" x14ac:dyDescent="0.15">
      <c r="A63" s="402"/>
      <c r="B63" s="485" t="s">
        <v>159</v>
      </c>
      <c r="C63" s="499"/>
      <c r="D63" s="498"/>
      <c r="E63" s="486"/>
      <c r="F63" s="498"/>
      <c r="G63" s="402"/>
      <c r="H63" s="402"/>
      <c r="I63" s="402"/>
      <c r="J63" s="402"/>
      <c r="K63" s="402"/>
      <c r="L63" s="402"/>
    </row>
    <row r="64" spans="1:12" x14ac:dyDescent="0.15">
      <c r="A64" s="402"/>
      <c r="B64" s="488" t="s">
        <v>160</v>
      </c>
      <c r="C64" s="497">
        <f>'Apartment Mix'!H26*'Apartment Mix'!I45</f>
        <v>46407.54442473987</v>
      </c>
      <c r="D64" s="489">
        <f>'Apartment Mix'!H27*'Apartment Mix'!I45</f>
        <v>40.354386456295536</v>
      </c>
      <c r="E64" s="486">
        <f>'Apartment Mix'!H23*'Apartment Mix'!$I$45</f>
        <v>62396.508082745095</v>
      </c>
      <c r="F64" s="489">
        <f>'Apartment Mix'!H24*'Apartment Mix'!I45</f>
        <v>54.257833115430515</v>
      </c>
      <c r="G64" s="402"/>
      <c r="H64" s="402"/>
      <c r="I64" s="402"/>
      <c r="J64" s="402"/>
      <c r="K64" s="402"/>
      <c r="L64" s="402"/>
    </row>
    <row r="65" spans="1:12" x14ac:dyDescent="0.15">
      <c r="A65" s="402"/>
      <c r="B65" s="474" t="s">
        <v>52</v>
      </c>
      <c r="C65" s="477">
        <f>Assumptions!M25</f>
        <v>85866</v>
      </c>
      <c r="D65" s="476"/>
      <c r="E65" s="477">
        <f>Assumptions!M24</f>
        <v>42860</v>
      </c>
      <c r="F65" s="476"/>
      <c r="G65" s="402"/>
      <c r="H65" s="402"/>
      <c r="I65" s="402"/>
      <c r="J65" s="402"/>
      <c r="K65" s="402"/>
      <c r="L65" s="402"/>
    </row>
    <row r="66" spans="1:12" x14ac:dyDescent="0.15">
      <c r="A66" s="402"/>
      <c r="B66" s="474" t="s">
        <v>138</v>
      </c>
      <c r="C66" s="477">
        <f>Assumptions!Q25</f>
        <v>176732.85</v>
      </c>
      <c r="D66" s="476"/>
      <c r="E66" s="477"/>
      <c r="F66" s="476"/>
      <c r="G66" s="402"/>
      <c r="H66" s="402"/>
      <c r="I66" s="402"/>
      <c r="J66" s="402"/>
      <c r="K66" s="402"/>
      <c r="L66" s="402"/>
    </row>
    <row r="67" spans="1:12" x14ac:dyDescent="0.15">
      <c r="A67" s="402"/>
      <c r="B67" s="474" t="s">
        <v>53</v>
      </c>
      <c r="C67" s="477"/>
      <c r="D67" s="476"/>
      <c r="E67" s="477"/>
      <c r="F67" s="476"/>
      <c r="G67" s="402"/>
      <c r="H67" s="402"/>
      <c r="I67" s="402"/>
      <c r="J67" s="402"/>
      <c r="K67" s="402"/>
      <c r="L67" s="402"/>
    </row>
    <row r="68" spans="1:12" x14ac:dyDescent="0.15">
      <c r="A68" s="402"/>
      <c r="B68" s="481" t="s">
        <v>28</v>
      </c>
      <c r="C68" s="482">
        <f>C57+C61+C65+C66+C67</f>
        <v>492114.85</v>
      </c>
      <c r="D68" s="482">
        <f>D57+D61+D65+D66+D67</f>
        <v>92.017147613495808</v>
      </c>
      <c r="E68" s="482">
        <f>E57+E61+E65+E66+E67</f>
        <v>351452</v>
      </c>
      <c r="F68" s="483">
        <f>F57+F61+F65+F66+F67</f>
        <v>376.23626086956523</v>
      </c>
      <c r="G68" s="402"/>
      <c r="H68" s="402"/>
      <c r="I68" s="402"/>
      <c r="J68" s="402"/>
      <c r="K68" s="402"/>
      <c r="L68" s="402"/>
    </row>
    <row r="69" spans="1:12" x14ac:dyDescent="0.15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</row>
    <row r="70" spans="1:12" x14ac:dyDescent="0.15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</row>
  </sheetData>
  <mergeCells count="16">
    <mergeCell ref="E38:F38"/>
    <mergeCell ref="E55:F55"/>
    <mergeCell ref="G38:H38"/>
    <mergeCell ref="B54:B55"/>
    <mergeCell ref="C55:D55"/>
    <mergeCell ref="B3:B4"/>
    <mergeCell ref="C4:D4"/>
    <mergeCell ref="B20:B21"/>
    <mergeCell ref="C21:D21"/>
    <mergeCell ref="B37:B38"/>
    <mergeCell ref="C38:D38"/>
    <mergeCell ref="E21:F21"/>
    <mergeCell ref="G21:H21"/>
    <mergeCell ref="E4:F4"/>
    <mergeCell ref="G4:H4"/>
    <mergeCell ref="I4:J4"/>
  </mergeCells>
  <pageMargins left="0.7" right="0.7" top="0.75" bottom="0.75" header="0.3" footer="0.3"/>
  <ignoredErrors>
    <ignoredError sqref="D17 F17 H1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1B01B-0B9C-4A6F-9BDD-AB55DDE0A9E0}">
  <dimension ref="A1:O34"/>
  <sheetViews>
    <sheetView workbookViewId="0"/>
  </sheetViews>
  <sheetFormatPr baseColWidth="10" defaultColWidth="9" defaultRowHeight="14" x14ac:dyDescent="0.15"/>
  <cols>
    <col min="1" max="1" width="44.5" style="201" bestFit="1" customWidth="1"/>
    <col min="2" max="2" width="17.83203125" style="201" customWidth="1"/>
    <col min="3" max="4" width="9" style="201"/>
    <col min="5" max="5" width="20.33203125" style="201" customWidth="1"/>
    <col min="6" max="6" width="24" style="201" customWidth="1"/>
    <col min="7" max="7" width="16.1640625" style="201" customWidth="1"/>
    <col min="8" max="8" width="10.33203125" style="201" bestFit="1" customWidth="1"/>
    <col min="9" max="10" width="16.6640625" style="201" customWidth="1"/>
    <col min="11" max="16384" width="9" style="201"/>
  </cols>
  <sheetData>
    <row r="1" spans="1:15" ht="16" x14ac:dyDescent="0.2">
      <c r="A1" s="467" t="s">
        <v>305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</row>
    <row r="2" spans="1:15" x14ac:dyDescent="0.15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</row>
    <row r="3" spans="1:15" x14ac:dyDescent="0.15">
      <c r="A3" s="518" t="s">
        <v>304</v>
      </c>
      <c r="B3" s="520" t="s">
        <v>273</v>
      </c>
      <c r="C3" s="520" t="s">
        <v>272</v>
      </c>
      <c r="D3" s="520" t="s">
        <v>271</v>
      </c>
      <c r="E3" s="520" t="s">
        <v>270</v>
      </c>
      <c r="F3" s="520" t="s">
        <v>269</v>
      </c>
      <c r="G3" s="520" t="s">
        <v>268</v>
      </c>
      <c r="H3" s="520" t="s">
        <v>267</v>
      </c>
      <c r="I3" s="520" t="s">
        <v>266</v>
      </c>
      <c r="J3" s="520" t="s">
        <v>265</v>
      </c>
      <c r="K3" s="516"/>
      <c r="L3" s="516"/>
    </row>
    <row r="4" spans="1:15" x14ac:dyDescent="0.15">
      <c r="A4" s="519" t="s">
        <v>109</v>
      </c>
      <c r="B4" s="521" t="s">
        <v>264</v>
      </c>
      <c r="C4" s="521">
        <v>4</v>
      </c>
      <c r="D4" s="521">
        <v>0</v>
      </c>
      <c r="E4" s="521">
        <v>0</v>
      </c>
      <c r="F4" s="521">
        <v>0</v>
      </c>
      <c r="G4" s="521">
        <v>0</v>
      </c>
      <c r="H4" s="521">
        <v>0</v>
      </c>
      <c r="I4" s="521">
        <v>0</v>
      </c>
      <c r="J4" s="521">
        <v>83.443708999999998</v>
      </c>
      <c r="K4" s="516"/>
      <c r="L4" s="516"/>
    </row>
    <row r="5" spans="1:15" x14ac:dyDescent="0.15">
      <c r="A5" s="519" t="s">
        <v>116</v>
      </c>
      <c r="B5" s="521" t="s">
        <v>263</v>
      </c>
      <c r="C5" s="521">
        <v>4</v>
      </c>
      <c r="D5" s="521">
        <v>0</v>
      </c>
      <c r="E5" s="521">
        <v>0</v>
      </c>
      <c r="F5" s="521">
        <v>0</v>
      </c>
      <c r="G5" s="521">
        <v>0</v>
      </c>
      <c r="H5" s="521">
        <v>0</v>
      </c>
      <c r="I5" s="521">
        <v>0</v>
      </c>
      <c r="J5" s="521">
        <v>83.443708999999998</v>
      </c>
      <c r="K5" s="516"/>
      <c r="L5" s="516"/>
    </row>
    <row r="6" spans="1:15" x14ac:dyDescent="0.15">
      <c r="A6" s="519" t="s">
        <v>120</v>
      </c>
      <c r="B6" s="521" t="s">
        <v>262</v>
      </c>
      <c r="C6" s="521">
        <v>4</v>
      </c>
      <c r="D6" s="521">
        <v>0</v>
      </c>
      <c r="E6" s="521">
        <v>0</v>
      </c>
      <c r="F6" s="521">
        <v>0</v>
      </c>
      <c r="G6" s="521">
        <v>0</v>
      </c>
      <c r="H6" s="521">
        <v>0</v>
      </c>
      <c r="I6" s="521">
        <v>0</v>
      </c>
      <c r="J6" s="521">
        <v>83.443708999999998</v>
      </c>
      <c r="K6" s="516"/>
      <c r="L6" s="516"/>
    </row>
    <row r="7" spans="1:15" x14ac:dyDescent="0.15">
      <c r="A7" s="519" t="s">
        <v>121</v>
      </c>
      <c r="B7" s="521" t="s">
        <v>262</v>
      </c>
      <c r="C7" s="521">
        <v>4</v>
      </c>
      <c r="D7" s="521">
        <v>0</v>
      </c>
      <c r="E7" s="521">
        <v>0</v>
      </c>
      <c r="F7" s="521">
        <v>0</v>
      </c>
      <c r="G7" s="521">
        <v>0</v>
      </c>
      <c r="H7" s="521">
        <v>0</v>
      </c>
      <c r="I7" s="521">
        <v>0</v>
      </c>
      <c r="J7" s="521">
        <v>83.443708999999998</v>
      </c>
      <c r="K7" s="516"/>
      <c r="L7" s="516"/>
    </row>
    <row r="8" spans="1:15" x14ac:dyDescent="0.15">
      <c r="A8" s="519" t="s">
        <v>122</v>
      </c>
      <c r="B8" s="521" t="s">
        <v>261</v>
      </c>
      <c r="C8" s="521">
        <v>6</v>
      </c>
      <c r="D8" s="521">
        <v>1.1890000000000001</v>
      </c>
      <c r="E8" s="522">
        <v>1349700</v>
      </c>
      <c r="F8" s="522">
        <v>37800</v>
      </c>
      <c r="G8" s="522">
        <v>1332500</v>
      </c>
      <c r="H8" s="521">
        <v>0</v>
      </c>
      <c r="I8" s="522">
        <v>466380</v>
      </c>
      <c r="J8" s="521">
        <v>96.515579000000002</v>
      </c>
      <c r="K8" s="516"/>
      <c r="L8" s="516"/>
    </row>
    <row r="9" spans="1:15" x14ac:dyDescent="0.15">
      <c r="A9" s="519" t="s">
        <v>123</v>
      </c>
      <c r="B9" s="521" t="s">
        <v>260</v>
      </c>
      <c r="C9" s="521"/>
      <c r="D9" s="521">
        <v>2.375</v>
      </c>
      <c r="E9" s="522">
        <v>2468780</v>
      </c>
      <c r="F9" s="522">
        <v>79800</v>
      </c>
      <c r="G9" s="522">
        <v>2548580</v>
      </c>
      <c r="H9" s="521">
        <v>0</v>
      </c>
      <c r="I9" s="522">
        <v>892000</v>
      </c>
      <c r="J9" s="521">
        <v>96.515579000000002</v>
      </c>
      <c r="K9" s="516"/>
      <c r="L9" s="516"/>
    </row>
    <row r="10" spans="1:15" x14ac:dyDescent="0.15">
      <c r="A10" s="519" t="s">
        <v>127</v>
      </c>
      <c r="B10" s="521" t="s">
        <v>259</v>
      </c>
      <c r="C10" s="521">
        <v>9</v>
      </c>
      <c r="D10" s="521">
        <v>0.65400000000000003</v>
      </c>
      <c r="E10" s="522">
        <v>699150</v>
      </c>
      <c r="F10" s="522">
        <v>21000</v>
      </c>
      <c r="G10" s="522">
        <v>720150</v>
      </c>
      <c r="H10" s="522">
        <v>270900</v>
      </c>
      <c r="I10" s="522">
        <v>252050</v>
      </c>
      <c r="J10" s="521">
        <v>96.515579000000002</v>
      </c>
      <c r="K10" s="516"/>
      <c r="L10" s="516"/>
    </row>
    <row r="11" spans="1:15" x14ac:dyDescent="0.15">
      <c r="A11" s="519" t="s">
        <v>130</v>
      </c>
      <c r="B11" s="521" t="s">
        <v>258</v>
      </c>
      <c r="C11" s="521">
        <v>8</v>
      </c>
      <c r="D11" s="521">
        <v>1.502</v>
      </c>
      <c r="E11" s="522">
        <v>11701840</v>
      </c>
      <c r="F11" s="522">
        <v>13579760</v>
      </c>
      <c r="G11" s="522">
        <v>15281600</v>
      </c>
      <c r="H11" s="522">
        <v>14326470</v>
      </c>
      <c r="I11" s="522">
        <v>5348560</v>
      </c>
      <c r="J11" s="521">
        <v>96.515579000000002</v>
      </c>
      <c r="K11" s="516"/>
      <c r="L11" s="516"/>
    </row>
    <row r="12" spans="1:15" x14ac:dyDescent="0.15">
      <c r="A12" s="519" t="s">
        <v>131</v>
      </c>
      <c r="B12" s="521" t="s">
        <v>257</v>
      </c>
      <c r="C12" s="521">
        <v>1</v>
      </c>
      <c r="D12" s="521">
        <v>0.41599999999999998</v>
      </c>
      <c r="E12" s="522">
        <v>942970</v>
      </c>
      <c r="F12" s="521">
        <v>0</v>
      </c>
      <c r="G12" s="522">
        <v>942970</v>
      </c>
      <c r="H12" s="523">
        <v>582500</v>
      </c>
      <c r="I12" s="522">
        <v>330040</v>
      </c>
      <c r="J12" s="521">
        <v>96.515579000000002</v>
      </c>
      <c r="K12" s="516"/>
      <c r="L12" s="516"/>
    </row>
    <row r="13" spans="1:15" x14ac:dyDescent="0.15">
      <c r="A13" s="519" t="s">
        <v>132</v>
      </c>
      <c r="B13" s="521" t="s">
        <v>256</v>
      </c>
      <c r="C13" s="521">
        <v>13</v>
      </c>
      <c r="D13" s="521">
        <v>0.58799999999999997</v>
      </c>
      <c r="E13" s="522">
        <v>1921350</v>
      </c>
      <c r="F13" s="521">
        <v>0</v>
      </c>
      <c r="G13" s="522">
        <v>1921350</v>
      </c>
      <c r="H13" s="521">
        <v>0</v>
      </c>
      <c r="I13" s="522">
        <v>672470</v>
      </c>
      <c r="J13" s="521">
        <v>96.515579000000002</v>
      </c>
      <c r="K13" s="516"/>
      <c r="L13" s="516"/>
    </row>
    <row r="14" spans="1:15" x14ac:dyDescent="0.15">
      <c r="A14" s="518" t="s">
        <v>303</v>
      </c>
      <c r="B14" s="521"/>
      <c r="C14" s="521"/>
      <c r="D14" s="525">
        <f>SUM(D4:D13)</f>
        <v>6.7240000000000002</v>
      </c>
      <c r="E14" s="524">
        <f t="shared" ref="E14:I14" si="0">SUM(E4:E13)</f>
        <v>19083790</v>
      </c>
      <c r="F14" s="524">
        <f t="shared" si="0"/>
        <v>13718360</v>
      </c>
      <c r="G14" s="524">
        <f t="shared" si="0"/>
        <v>22747150</v>
      </c>
      <c r="H14" s="524">
        <f t="shared" si="0"/>
        <v>15179870</v>
      </c>
      <c r="I14" s="524">
        <f t="shared" si="0"/>
        <v>7961500</v>
      </c>
      <c r="J14" s="521"/>
      <c r="K14" s="516"/>
      <c r="L14" s="516"/>
    </row>
    <row r="15" spans="1:15" x14ac:dyDescent="0.15">
      <c r="A15" s="519"/>
      <c r="B15" s="521"/>
      <c r="C15" s="521"/>
      <c r="D15" s="521"/>
      <c r="E15" s="521"/>
      <c r="F15" s="521"/>
      <c r="G15" s="521"/>
      <c r="H15" s="521"/>
      <c r="I15" s="521"/>
      <c r="J15" s="521"/>
      <c r="K15" s="516"/>
      <c r="L15" s="516"/>
    </row>
    <row r="16" spans="1:15" x14ac:dyDescent="0.15">
      <c r="A16" s="518" t="s">
        <v>255</v>
      </c>
      <c r="B16" s="526" t="s">
        <v>254</v>
      </c>
      <c r="C16" s="526">
        <v>44</v>
      </c>
      <c r="D16" s="526">
        <v>0.30299999999999999</v>
      </c>
      <c r="E16" s="527">
        <v>1520690</v>
      </c>
      <c r="F16" s="526">
        <v>0</v>
      </c>
      <c r="G16" s="527">
        <v>1520690</v>
      </c>
      <c r="H16" s="526">
        <v>0</v>
      </c>
      <c r="I16" s="527">
        <v>532240</v>
      </c>
      <c r="J16" s="526">
        <v>96.515579000000002</v>
      </c>
      <c r="K16" s="515"/>
      <c r="L16" s="515"/>
      <c r="M16" s="202"/>
      <c r="N16" s="202"/>
      <c r="O16" s="202"/>
    </row>
    <row r="17" spans="1:15" x14ac:dyDescent="0.15">
      <c r="A17" s="518"/>
      <c r="B17" s="526" t="s">
        <v>253</v>
      </c>
      <c r="C17" s="526">
        <v>44</v>
      </c>
      <c r="D17" s="526">
        <v>0.58599999999999997</v>
      </c>
      <c r="E17" s="527">
        <v>3149960</v>
      </c>
      <c r="F17" s="527">
        <v>2799410</v>
      </c>
      <c r="G17" s="527">
        <v>5994370</v>
      </c>
      <c r="H17" s="527">
        <v>1148070</v>
      </c>
      <c r="I17" s="527">
        <v>2098030</v>
      </c>
      <c r="J17" s="526">
        <v>96.515579000000002</v>
      </c>
      <c r="K17" s="515"/>
      <c r="L17" s="515"/>
      <c r="M17" s="202"/>
      <c r="N17" s="202"/>
      <c r="O17" s="202"/>
    </row>
    <row r="18" spans="1:15" x14ac:dyDescent="0.15">
      <c r="A18" s="518"/>
      <c r="B18" s="526" t="s">
        <v>252</v>
      </c>
      <c r="C18" s="526">
        <v>44</v>
      </c>
      <c r="D18" s="526">
        <v>4.9000000000000002E-2</v>
      </c>
      <c r="E18" s="527">
        <v>259280</v>
      </c>
      <c r="F18" s="526">
        <v>0</v>
      </c>
      <c r="G18" s="527">
        <v>259280</v>
      </c>
      <c r="H18" s="527">
        <v>14880</v>
      </c>
      <c r="I18" s="527">
        <v>90750</v>
      </c>
      <c r="J18" s="526">
        <v>96.515579000000002</v>
      </c>
      <c r="K18" s="515"/>
      <c r="L18" s="515"/>
      <c r="M18" s="202"/>
      <c r="N18" s="202"/>
      <c r="O18" s="202"/>
    </row>
    <row r="19" spans="1:15" x14ac:dyDescent="0.15">
      <c r="A19" s="518"/>
      <c r="B19" s="526" t="s">
        <v>251</v>
      </c>
      <c r="C19" s="526">
        <v>44</v>
      </c>
      <c r="D19" s="526"/>
      <c r="E19" s="527"/>
      <c r="F19" s="527"/>
      <c r="G19" s="527"/>
      <c r="H19" s="526"/>
      <c r="I19" s="527"/>
      <c r="J19" s="526"/>
      <c r="K19" s="515"/>
      <c r="L19" s="515"/>
      <c r="M19" s="202"/>
      <c r="N19" s="202"/>
      <c r="O19" s="202"/>
    </row>
    <row r="20" spans="1:15" x14ac:dyDescent="0.15">
      <c r="A20" s="518"/>
      <c r="B20" s="526" t="s">
        <v>250</v>
      </c>
      <c r="C20" s="526">
        <v>44</v>
      </c>
      <c r="D20" s="526">
        <v>0.39</v>
      </c>
      <c r="E20" s="527">
        <v>2329280</v>
      </c>
      <c r="F20" s="527">
        <v>679180</v>
      </c>
      <c r="G20" s="527">
        <v>3008460</v>
      </c>
      <c r="H20" s="527">
        <v>308460</v>
      </c>
      <c r="I20" s="527">
        <v>1052960</v>
      </c>
      <c r="J20" s="526">
        <v>96.515579000000002</v>
      </c>
      <c r="K20" s="515"/>
      <c r="L20" s="515"/>
      <c r="M20" s="202"/>
      <c r="N20" s="202"/>
      <c r="O20" s="202"/>
    </row>
    <row r="21" spans="1:15" x14ac:dyDescent="0.15">
      <c r="A21" s="518"/>
      <c r="B21" s="526" t="s">
        <v>249</v>
      </c>
      <c r="C21" s="526">
        <v>44</v>
      </c>
      <c r="D21" s="526">
        <v>0.154</v>
      </c>
      <c r="E21" s="527">
        <v>904200</v>
      </c>
      <c r="F21" s="526">
        <v>0</v>
      </c>
      <c r="G21" s="527">
        <v>904200</v>
      </c>
      <c r="H21" s="526">
        <v>0</v>
      </c>
      <c r="I21" s="527">
        <v>316470</v>
      </c>
      <c r="J21" s="526">
        <v>96.515579000000002</v>
      </c>
      <c r="K21" s="515"/>
      <c r="L21" s="515"/>
      <c r="M21" s="202"/>
      <c r="N21" s="202"/>
      <c r="O21" s="202"/>
    </row>
    <row r="22" spans="1:15" x14ac:dyDescent="0.15">
      <c r="A22" s="518"/>
      <c r="B22" s="526" t="s">
        <v>248</v>
      </c>
      <c r="C22" s="526">
        <v>44</v>
      </c>
      <c r="D22" s="526"/>
      <c r="E22" s="526"/>
      <c r="F22" s="526"/>
      <c r="G22" s="526"/>
      <c r="H22" s="526"/>
      <c r="I22" s="526"/>
      <c r="J22" s="526"/>
      <c r="K22" s="515"/>
      <c r="L22" s="515"/>
      <c r="M22" s="202"/>
      <c r="N22" s="202"/>
      <c r="O22" s="202"/>
    </row>
    <row r="23" spans="1:15" x14ac:dyDescent="0.15">
      <c r="A23" s="518"/>
      <c r="B23" s="526" t="s">
        <v>247</v>
      </c>
      <c r="C23" s="526">
        <v>44</v>
      </c>
      <c r="D23" s="526"/>
      <c r="E23" s="526"/>
      <c r="F23" s="526"/>
      <c r="G23" s="526"/>
      <c r="H23" s="526"/>
      <c r="I23" s="526"/>
      <c r="J23" s="526"/>
      <c r="K23" s="515"/>
      <c r="L23" s="515"/>
      <c r="M23" s="202"/>
      <c r="N23" s="202"/>
      <c r="O23" s="202"/>
    </row>
    <row r="24" spans="1:15" x14ac:dyDescent="0.15">
      <c r="A24" s="518"/>
      <c r="B24" s="526" t="s">
        <v>246</v>
      </c>
      <c r="C24" s="526">
        <v>44</v>
      </c>
      <c r="D24" s="526"/>
      <c r="E24" s="526"/>
      <c r="F24" s="526"/>
      <c r="G24" s="526"/>
      <c r="H24" s="526"/>
      <c r="I24" s="526"/>
      <c r="J24" s="526"/>
      <c r="K24" s="515"/>
      <c r="L24" s="515"/>
      <c r="M24" s="202"/>
      <c r="N24" s="202"/>
      <c r="O24" s="202"/>
    </row>
    <row r="25" spans="1:15" x14ac:dyDescent="0.15">
      <c r="A25" s="518"/>
      <c r="B25" s="526" t="s">
        <v>245</v>
      </c>
      <c r="C25" s="526">
        <v>44</v>
      </c>
      <c r="D25" s="526"/>
      <c r="E25" s="526"/>
      <c r="F25" s="526"/>
      <c r="G25" s="526"/>
      <c r="H25" s="526"/>
      <c r="I25" s="526"/>
      <c r="J25" s="526"/>
      <c r="K25" s="515"/>
      <c r="L25" s="515"/>
      <c r="M25" s="202"/>
      <c r="N25" s="202"/>
      <c r="O25" s="202"/>
    </row>
    <row r="26" spans="1:15" x14ac:dyDescent="0.15">
      <c r="A26" s="518"/>
      <c r="B26" s="526" t="s">
        <v>244</v>
      </c>
      <c r="C26" s="526">
        <v>44</v>
      </c>
      <c r="D26" s="526"/>
      <c r="E26" s="526"/>
      <c r="F26" s="526"/>
      <c r="G26" s="526"/>
      <c r="H26" s="526"/>
      <c r="I26" s="526"/>
      <c r="J26" s="526"/>
      <c r="K26" s="515"/>
      <c r="L26" s="515"/>
      <c r="M26" s="202"/>
      <c r="N26" s="202"/>
      <c r="O26" s="202"/>
    </row>
    <row r="27" spans="1:15" x14ac:dyDescent="0.15">
      <c r="A27" s="518"/>
      <c r="B27" s="526" t="s">
        <v>243</v>
      </c>
      <c r="C27" s="526">
        <v>44</v>
      </c>
      <c r="D27" s="526">
        <v>0.16600000000000001</v>
      </c>
      <c r="E27" s="527">
        <v>911250</v>
      </c>
      <c r="F27" s="527">
        <v>1121230</v>
      </c>
      <c r="G27" s="527">
        <v>2032480</v>
      </c>
      <c r="H27" s="526">
        <v>0</v>
      </c>
      <c r="I27" s="527">
        <v>711370</v>
      </c>
      <c r="J27" s="526">
        <v>96.515579000000002</v>
      </c>
      <c r="K27" s="515"/>
      <c r="L27" s="515"/>
      <c r="M27" s="202"/>
      <c r="N27" s="202"/>
      <c r="O27" s="202"/>
    </row>
    <row r="28" spans="1:15" x14ac:dyDescent="0.15">
      <c r="A28" s="518" t="s">
        <v>306</v>
      </c>
      <c r="B28" s="520"/>
      <c r="C28" s="520"/>
      <c r="D28" s="525">
        <f t="shared" ref="D28:I28" si="1">SUM(D16:D27)</f>
        <v>1.6479999999999999</v>
      </c>
      <c r="E28" s="524">
        <f t="shared" si="1"/>
        <v>9074660</v>
      </c>
      <c r="F28" s="524">
        <f t="shared" si="1"/>
        <v>4599820</v>
      </c>
      <c r="G28" s="524">
        <f t="shared" si="1"/>
        <v>13719480</v>
      </c>
      <c r="H28" s="524">
        <f t="shared" si="1"/>
        <v>1471410</v>
      </c>
      <c r="I28" s="524">
        <f t="shared" si="1"/>
        <v>4801820</v>
      </c>
      <c r="J28" s="520"/>
      <c r="K28" s="515"/>
      <c r="L28" s="515"/>
      <c r="M28" s="202"/>
      <c r="N28" s="202"/>
      <c r="O28" s="202"/>
    </row>
    <row r="29" spans="1:15" x14ac:dyDescent="0.15">
      <c r="A29" s="519"/>
      <c r="B29" s="521"/>
      <c r="C29" s="521"/>
      <c r="D29" s="521"/>
      <c r="E29" s="521"/>
      <c r="F29" s="521"/>
      <c r="G29" s="521"/>
      <c r="H29" s="521"/>
      <c r="I29" s="521"/>
      <c r="J29" s="521"/>
      <c r="K29" s="516"/>
      <c r="L29" s="516"/>
    </row>
    <row r="30" spans="1:15" x14ac:dyDescent="0.15">
      <c r="A30" s="516"/>
      <c r="B30" s="516"/>
      <c r="C30" s="516"/>
      <c r="D30" s="516"/>
      <c r="E30" s="517"/>
      <c r="F30" s="517"/>
      <c r="G30" s="517"/>
      <c r="H30" s="516"/>
      <c r="I30" s="516"/>
      <c r="J30" s="516"/>
      <c r="K30" s="516"/>
      <c r="L30" s="516"/>
    </row>
    <row r="31" spans="1:15" x14ac:dyDescent="0.15">
      <c r="A31" s="516"/>
      <c r="B31" s="516"/>
      <c r="C31" s="516"/>
      <c r="D31" s="516"/>
      <c r="E31" s="517"/>
      <c r="F31" s="516"/>
      <c r="G31" s="516"/>
      <c r="H31" s="516"/>
      <c r="I31" s="516"/>
      <c r="J31" s="516"/>
      <c r="K31" s="516"/>
      <c r="L31" s="516"/>
    </row>
    <row r="32" spans="1:15" x14ac:dyDescent="0.15">
      <c r="A32" s="516"/>
      <c r="B32" s="516"/>
      <c r="C32" s="516"/>
      <c r="D32" s="516"/>
      <c r="E32" s="517"/>
      <c r="F32" s="516"/>
      <c r="G32" s="516"/>
      <c r="H32" s="516"/>
      <c r="I32" s="516"/>
      <c r="J32" s="516"/>
      <c r="K32" s="516"/>
      <c r="L32" s="516"/>
    </row>
    <row r="33" spans="1:12" x14ac:dyDescent="0.15">
      <c r="A33" s="516"/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</row>
    <row r="34" spans="1:12" x14ac:dyDescent="0.15">
      <c r="A34" s="516"/>
      <c r="B34" s="516"/>
      <c r="C34" s="516"/>
      <c r="D34" s="516"/>
      <c r="E34" s="516"/>
      <c r="F34" s="516"/>
      <c r="G34" s="517"/>
      <c r="H34" s="516"/>
      <c r="I34" s="516"/>
      <c r="J34" s="516"/>
      <c r="K34" s="516"/>
      <c r="L34" s="51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D64A6-FEB7-4F02-B785-69FFB8DA3DE0}">
  <dimension ref="A1:W47"/>
  <sheetViews>
    <sheetView zoomScale="73" zoomScaleNormal="90" workbookViewId="0">
      <selection activeCell="P42" sqref="P42"/>
    </sheetView>
  </sheetViews>
  <sheetFormatPr baseColWidth="10" defaultColWidth="9" defaultRowHeight="14" x14ac:dyDescent="0.15"/>
  <cols>
    <col min="1" max="1" width="9" style="47"/>
    <col min="2" max="2" width="6.33203125" style="47" customWidth="1"/>
    <col min="3" max="4" width="13.6640625" style="47" customWidth="1"/>
    <col min="5" max="5" width="2.6640625" style="47" customWidth="1"/>
    <col min="6" max="6" width="11.1640625" style="47" bestFit="1" customWidth="1"/>
    <col min="7" max="7" width="9.33203125" style="47" bestFit="1" customWidth="1"/>
    <col min="8" max="8" width="10.83203125" style="47" bestFit="1" customWidth="1"/>
    <col min="9" max="9" width="9" style="47"/>
    <col min="10" max="10" width="10.83203125" style="47" bestFit="1" customWidth="1"/>
    <col min="11" max="11" width="21.6640625" style="47" customWidth="1"/>
    <col min="12" max="12" width="11.6640625" style="47" bestFit="1" customWidth="1"/>
    <col min="13" max="14" width="9" style="47"/>
    <col min="15" max="15" width="12.1640625" style="47" bestFit="1" customWidth="1"/>
    <col min="16" max="16" width="12" style="47" bestFit="1" customWidth="1"/>
    <col min="17" max="17" width="9.6640625" bestFit="1" customWidth="1"/>
    <col min="18" max="16384" width="9" style="47"/>
  </cols>
  <sheetData>
    <row r="1" spans="1:23" s="203" customFormat="1" ht="16" x14ac:dyDescent="0.2">
      <c r="A1" s="467" t="s">
        <v>307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20"/>
      <c r="R1" s="396"/>
      <c r="S1" s="396"/>
    </row>
    <row r="2" spans="1:23" s="203" customFormat="1" x14ac:dyDescent="0.15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20"/>
      <c r="R2" s="396"/>
      <c r="S2" s="396"/>
    </row>
    <row r="3" spans="1:23" ht="18" x14ac:dyDescent="0.2">
      <c r="A3" s="396"/>
      <c r="B3" s="65" t="s">
        <v>103</v>
      </c>
      <c r="C3" s="66" t="s">
        <v>104</v>
      </c>
      <c r="D3" s="66" t="s">
        <v>28</v>
      </c>
      <c r="E3" s="67"/>
      <c r="F3" s="68" t="s">
        <v>105</v>
      </c>
      <c r="G3" s="68" t="s">
        <v>106</v>
      </c>
      <c r="H3" s="69" t="s">
        <v>107</v>
      </c>
      <c r="I3" s="396"/>
      <c r="J3" s="396"/>
      <c r="K3" s="48" t="s">
        <v>108</v>
      </c>
      <c r="L3" s="49"/>
      <c r="M3" s="49"/>
      <c r="N3" s="49"/>
      <c r="O3" s="49"/>
      <c r="P3" s="49"/>
      <c r="U3" s="723"/>
    </row>
    <row r="4" spans="1:23" ht="14.25" customHeight="1" x14ac:dyDescent="0.15">
      <c r="A4" s="396"/>
      <c r="B4" s="724" t="s">
        <v>109</v>
      </c>
      <c r="C4" s="59"/>
      <c r="D4" s="60"/>
      <c r="E4" s="59"/>
      <c r="F4" s="61">
        <v>0.6</v>
      </c>
      <c r="G4" s="61">
        <v>0.2</v>
      </c>
      <c r="H4" s="62">
        <v>0.2</v>
      </c>
      <c r="I4" s="396"/>
      <c r="J4" s="396"/>
      <c r="K4" s="547" t="s">
        <v>111</v>
      </c>
      <c r="L4" s="396"/>
      <c r="M4" s="396"/>
      <c r="N4" s="396"/>
      <c r="O4" s="396"/>
      <c r="P4" s="396"/>
      <c r="Q4" s="320"/>
      <c r="R4" s="396"/>
      <c r="S4" s="396"/>
      <c r="U4" s="723"/>
      <c r="V4" s="723"/>
      <c r="W4" s="723"/>
    </row>
    <row r="5" spans="1:23" ht="34" x14ac:dyDescent="0.2">
      <c r="A5" s="396"/>
      <c r="B5" s="724"/>
      <c r="C5" s="59" t="s">
        <v>110</v>
      </c>
      <c r="D5" s="60">
        <v>116100</v>
      </c>
      <c r="E5" s="59"/>
      <c r="F5" s="60">
        <f>D5*F4</f>
        <v>69660</v>
      </c>
      <c r="G5" s="60">
        <f>D5*G4</f>
        <v>23220</v>
      </c>
      <c r="H5" s="63">
        <f>D5*H4</f>
        <v>23220</v>
      </c>
      <c r="I5" s="396"/>
      <c r="J5" s="396"/>
      <c r="K5" s="50" t="s">
        <v>113</v>
      </c>
      <c r="L5" s="51" t="s">
        <v>112</v>
      </c>
      <c r="M5" s="51" t="s">
        <v>114</v>
      </c>
      <c r="N5" s="58" t="s">
        <v>180</v>
      </c>
      <c r="O5" s="58" t="s">
        <v>174</v>
      </c>
      <c r="P5" s="51" t="s">
        <v>97</v>
      </c>
      <c r="Q5" s="51" t="s">
        <v>115</v>
      </c>
      <c r="R5" s="51" t="s">
        <v>181</v>
      </c>
      <c r="S5" s="396"/>
    </row>
    <row r="6" spans="1:23" x14ac:dyDescent="0.15">
      <c r="A6" s="396"/>
      <c r="B6" s="724"/>
      <c r="C6" s="59" t="s">
        <v>112</v>
      </c>
      <c r="D6" s="64">
        <f>SUM(F6:H6)</f>
        <v>165.31630434782608</v>
      </c>
      <c r="E6" s="59"/>
      <c r="F6" s="60">
        <f>F5/$M$20</f>
        <v>116.1</v>
      </c>
      <c r="G6" s="60">
        <f>G5/$M$21</f>
        <v>29.024999999999999</v>
      </c>
      <c r="H6" s="63">
        <f>H5/$M$22</f>
        <v>20.191304347826087</v>
      </c>
      <c r="I6" s="528"/>
      <c r="J6" s="396"/>
      <c r="K6" s="536" t="s">
        <v>117</v>
      </c>
      <c r="L6" s="537">
        <f>Phasing!J7</f>
        <v>470.25900000000007</v>
      </c>
      <c r="M6" s="538">
        <f>L6/$L$9</f>
        <v>0.36486235650460824</v>
      </c>
      <c r="N6" s="539">
        <f>Assumptions!C6</f>
        <v>2.5</v>
      </c>
      <c r="O6" s="540">
        <f>N6*P6*12</f>
        <v>8464662</v>
      </c>
      <c r="P6" s="537">
        <f>L6*Assumptions!C7</f>
        <v>282155.40000000002</v>
      </c>
      <c r="Q6" s="557">
        <f t="shared" ref="Q6:Q7" si="0">O6/L6/12</f>
        <v>1499.9999999999998</v>
      </c>
      <c r="R6" s="397"/>
      <c r="S6" s="396"/>
    </row>
    <row r="7" spans="1:23" x14ac:dyDescent="0.15">
      <c r="A7" s="396"/>
      <c r="B7" s="725" t="s">
        <v>116</v>
      </c>
      <c r="C7" s="532"/>
      <c r="D7" s="533"/>
      <c r="E7" s="532"/>
      <c r="F7" s="534">
        <v>0</v>
      </c>
      <c r="G7" s="534">
        <v>0.6</v>
      </c>
      <c r="H7" s="535">
        <v>0.4</v>
      </c>
      <c r="I7" s="396"/>
      <c r="J7" s="396"/>
      <c r="K7" s="536" t="s">
        <v>118</v>
      </c>
      <c r="L7" s="537">
        <f>Phasing!J8</f>
        <v>656.99137500000006</v>
      </c>
      <c r="M7" s="538">
        <f>L7/$L$9</f>
        <v>0.5097433994579641</v>
      </c>
      <c r="N7" s="539">
        <f>Assumptions!C10</f>
        <v>2.2999999999999998</v>
      </c>
      <c r="O7" s="540">
        <f>N7*P7*12</f>
        <v>14506369.560000002</v>
      </c>
      <c r="P7" s="537">
        <f>L7*Assumptions!C11</f>
        <v>525593.10000000009</v>
      </c>
      <c r="Q7" s="557">
        <f t="shared" si="0"/>
        <v>1840</v>
      </c>
      <c r="R7" s="397"/>
      <c r="S7" s="396"/>
    </row>
    <row r="8" spans="1:23" x14ac:dyDescent="0.15">
      <c r="A8" s="396"/>
      <c r="B8" s="725"/>
      <c r="C8" s="532" t="s">
        <v>110</v>
      </c>
      <c r="D8" s="533">
        <v>99638</v>
      </c>
      <c r="E8" s="532"/>
      <c r="F8" s="533">
        <f>D8*F7</f>
        <v>0</v>
      </c>
      <c r="G8" s="533">
        <f>D8*G7</f>
        <v>59782.799999999996</v>
      </c>
      <c r="H8" s="542">
        <f>D8*H7</f>
        <v>39855.200000000004</v>
      </c>
      <c r="I8" s="396"/>
      <c r="J8" s="396"/>
      <c r="K8" s="543" t="s">
        <v>119</v>
      </c>
      <c r="L8" s="544">
        <f>Phasing!J9</f>
        <v>161.61648565697408</v>
      </c>
      <c r="M8" s="545">
        <f>L8/$L$9</f>
        <v>0.12539424403742783</v>
      </c>
      <c r="N8" s="541">
        <f>Assumptions!C14</f>
        <v>2.4</v>
      </c>
      <c r="O8" s="540">
        <f>N8*P8*12</f>
        <v>5352738.0049589816</v>
      </c>
      <c r="P8" s="544">
        <f>L8*Assumptions!C15</f>
        <v>185858.95850552019</v>
      </c>
      <c r="Q8" s="541">
        <f>O8/L8/12</f>
        <v>2760</v>
      </c>
      <c r="R8" s="546"/>
      <c r="S8" s="396"/>
    </row>
    <row r="9" spans="1:23" x14ac:dyDescent="0.15">
      <c r="A9" s="396"/>
      <c r="B9" s="725"/>
      <c r="C9" s="532" t="s">
        <v>112</v>
      </c>
      <c r="D9" s="533">
        <f>SUM(F9:H9)</f>
        <v>109.38519565217391</v>
      </c>
      <c r="E9" s="532"/>
      <c r="F9" s="533">
        <f>F8/$L$20</f>
        <v>0</v>
      </c>
      <c r="G9" s="533">
        <f>G8/$M$21</f>
        <v>74.728499999999997</v>
      </c>
      <c r="H9" s="542">
        <f>H8/$M$22</f>
        <v>34.656695652173916</v>
      </c>
      <c r="I9" s="528"/>
      <c r="J9" s="396"/>
      <c r="K9" s="396"/>
      <c r="L9" s="537">
        <f>SUM(L6:L8)</f>
        <v>1288.866860656974</v>
      </c>
      <c r="M9" s="397"/>
      <c r="N9" s="397"/>
      <c r="O9" s="555"/>
      <c r="P9" s="537">
        <f>SUM(P6:P8)</f>
        <v>993607.45850552036</v>
      </c>
      <c r="Q9" s="548">
        <f>SUM(O6:O8)/P9/12</f>
        <v>2.3754996102418398</v>
      </c>
      <c r="R9" s="549">
        <f>SUM(P6:P8)/L9</f>
        <v>770.91551411217824</v>
      </c>
      <c r="S9" s="396"/>
    </row>
    <row r="10" spans="1:23" x14ac:dyDescent="0.15">
      <c r="A10" s="396"/>
      <c r="B10" s="724" t="s">
        <v>120</v>
      </c>
      <c r="C10" s="59"/>
      <c r="D10" s="60"/>
      <c r="E10" s="59"/>
      <c r="F10" s="61"/>
      <c r="G10" s="61"/>
      <c r="H10" s="62"/>
      <c r="I10" s="396"/>
      <c r="J10" s="396"/>
      <c r="K10" s="396"/>
      <c r="L10" s="550"/>
      <c r="M10" s="396"/>
      <c r="N10" s="396"/>
      <c r="O10" s="396"/>
      <c r="P10" s="550"/>
      <c r="Q10" s="551"/>
      <c r="R10" s="551"/>
      <c r="S10" s="396"/>
    </row>
    <row r="11" spans="1:23" ht="34" x14ac:dyDescent="0.2">
      <c r="A11" s="396"/>
      <c r="B11" s="724"/>
      <c r="C11" s="59"/>
      <c r="D11" s="60">
        <v>0</v>
      </c>
      <c r="E11" s="59"/>
      <c r="F11" s="60"/>
      <c r="G11" s="60"/>
      <c r="H11" s="63"/>
      <c r="I11" s="396"/>
      <c r="J11" s="396"/>
      <c r="K11" s="50" t="s">
        <v>57</v>
      </c>
      <c r="L11" s="51" t="s">
        <v>112</v>
      </c>
      <c r="M11" s="51" t="s">
        <v>114</v>
      </c>
      <c r="N11" s="58" t="s">
        <v>180</v>
      </c>
      <c r="O11" s="51" t="s">
        <v>174</v>
      </c>
      <c r="P11" s="51" t="s">
        <v>97</v>
      </c>
      <c r="Q11" s="51" t="s">
        <v>115</v>
      </c>
      <c r="R11" s="51" t="s">
        <v>181</v>
      </c>
    </row>
    <row r="12" spans="1:23" x14ac:dyDescent="0.15">
      <c r="A12" s="396"/>
      <c r="B12" s="724"/>
      <c r="C12" s="59"/>
      <c r="D12" s="64"/>
      <c r="E12" s="59"/>
      <c r="F12" s="60"/>
      <c r="G12" s="60"/>
      <c r="H12" s="63"/>
      <c r="I12" s="396"/>
      <c r="J12" s="396"/>
      <c r="K12" s="536" t="s">
        <v>117</v>
      </c>
      <c r="L12" s="537">
        <v>0</v>
      </c>
      <c r="M12" s="552">
        <f>L12/SUM($L$12:$L$14)</f>
        <v>0</v>
      </c>
      <c r="N12" s="539"/>
      <c r="O12" s="539"/>
      <c r="P12" s="537"/>
      <c r="Q12" s="320"/>
      <c r="R12" s="397"/>
    </row>
    <row r="13" spans="1:23" x14ac:dyDescent="0.15">
      <c r="A13" s="396"/>
      <c r="B13" s="725" t="s">
        <v>121</v>
      </c>
      <c r="C13" s="532"/>
      <c r="D13" s="533"/>
      <c r="E13" s="532"/>
      <c r="F13" s="534">
        <v>0</v>
      </c>
      <c r="G13" s="534">
        <v>0.6</v>
      </c>
      <c r="H13" s="535">
        <v>0.4</v>
      </c>
      <c r="I13" s="396"/>
      <c r="J13" s="396"/>
      <c r="K13" s="536" t="s">
        <v>118</v>
      </c>
      <c r="L13" s="537">
        <v>0</v>
      </c>
      <c r="M13" s="552">
        <f>L12/SUM($L$12:$L$14)</f>
        <v>0</v>
      </c>
      <c r="N13" s="539"/>
      <c r="O13" s="539"/>
      <c r="P13" s="537"/>
      <c r="Q13" s="320"/>
      <c r="R13" s="397"/>
    </row>
    <row r="14" spans="1:23" x14ac:dyDescent="0.15">
      <c r="A14" s="396"/>
      <c r="B14" s="725"/>
      <c r="C14" s="532" t="s">
        <v>110</v>
      </c>
      <c r="D14" s="533">
        <v>99638</v>
      </c>
      <c r="E14" s="532"/>
      <c r="F14" s="533">
        <f>D14*F13</f>
        <v>0</v>
      </c>
      <c r="G14" s="533">
        <f>D14*G13</f>
        <v>59782.799999999996</v>
      </c>
      <c r="H14" s="542">
        <f>D14*H13</f>
        <v>39855.200000000004</v>
      </c>
      <c r="I14" s="396"/>
      <c r="J14" s="396"/>
      <c r="K14" s="543" t="s">
        <v>119</v>
      </c>
      <c r="L14" s="544">
        <f>H45</f>
        <v>369.16907137681164</v>
      </c>
      <c r="M14" s="553">
        <f>L14/SUM($L$12:$L$14)</f>
        <v>1</v>
      </c>
      <c r="N14" s="541">
        <f>'3. Affordable Rental Housing'!B18</f>
        <v>1.44</v>
      </c>
      <c r="O14" s="541">
        <f>P14*N14*12</f>
        <v>7336127.7864000015</v>
      </c>
      <c r="P14" s="544">
        <f>L14*M22</f>
        <v>424544.43208333338</v>
      </c>
      <c r="Q14" s="559">
        <f>O14/L14/12</f>
        <v>1656</v>
      </c>
      <c r="R14" s="546"/>
    </row>
    <row r="15" spans="1:23" x14ac:dyDescent="0.15">
      <c r="A15" s="396"/>
      <c r="B15" s="725"/>
      <c r="C15" s="532" t="s">
        <v>112</v>
      </c>
      <c r="D15" s="533">
        <f>SUM(F15:H15)</f>
        <v>109.38519565217391</v>
      </c>
      <c r="E15" s="532"/>
      <c r="F15" s="533">
        <f>F14/$L$20</f>
        <v>0</v>
      </c>
      <c r="G15" s="533">
        <f>G14/$M$21</f>
        <v>74.728499999999997</v>
      </c>
      <c r="H15" s="542">
        <f>H14/$M$22</f>
        <v>34.656695652173916</v>
      </c>
      <c r="I15" s="528"/>
      <c r="J15" s="396"/>
      <c r="K15" s="396"/>
      <c r="L15" s="537">
        <f>SUM(L12:L14)</f>
        <v>369.16907137681164</v>
      </c>
      <c r="M15" s="397"/>
      <c r="N15" s="396"/>
      <c r="O15" s="397"/>
      <c r="P15" s="537">
        <f>P14</f>
        <v>424544.43208333338</v>
      </c>
      <c r="Q15" s="556"/>
      <c r="R15" s="560">
        <f>P15/L15</f>
        <v>1150</v>
      </c>
    </row>
    <row r="16" spans="1:23" x14ac:dyDescent="0.15">
      <c r="A16" s="396"/>
      <c r="B16" s="724" t="s">
        <v>122</v>
      </c>
      <c r="C16" s="59"/>
      <c r="D16" s="60"/>
      <c r="E16" s="59"/>
      <c r="F16" s="60"/>
      <c r="G16" s="60"/>
      <c r="H16" s="63"/>
      <c r="I16" s="396"/>
      <c r="J16" s="396"/>
      <c r="K16" s="396"/>
      <c r="L16" s="550"/>
      <c r="M16" s="396"/>
      <c r="N16" s="396"/>
      <c r="O16" s="396"/>
      <c r="P16" s="396"/>
      <c r="Q16" s="320"/>
      <c r="R16" s="396"/>
    </row>
    <row r="17" spans="1:18" x14ac:dyDescent="0.15">
      <c r="A17" s="396"/>
      <c r="B17" s="724"/>
      <c r="C17" s="59"/>
      <c r="D17" s="60"/>
      <c r="E17" s="59"/>
      <c r="F17" s="60"/>
      <c r="G17" s="60"/>
      <c r="H17" s="63"/>
      <c r="I17" s="396"/>
      <c r="J17" s="396"/>
      <c r="K17" s="396"/>
      <c r="L17" s="396"/>
      <c r="M17" s="396"/>
      <c r="N17" s="396"/>
      <c r="O17" s="396"/>
      <c r="P17" s="396"/>
      <c r="Q17" s="320"/>
      <c r="R17" s="396"/>
    </row>
    <row r="18" spans="1:18" ht="16" x14ac:dyDescent="0.2">
      <c r="A18" s="396"/>
      <c r="B18" s="724"/>
      <c r="C18" s="59"/>
      <c r="D18" s="60"/>
      <c r="E18" s="59"/>
      <c r="F18" s="60"/>
      <c r="G18" s="60"/>
      <c r="H18" s="63"/>
      <c r="I18" s="396"/>
      <c r="J18" s="396"/>
      <c r="K18" s="204" t="s">
        <v>124</v>
      </c>
      <c r="L18" s="205"/>
      <c r="M18" s="205"/>
      <c r="N18" s="206"/>
      <c r="O18" s="396"/>
      <c r="P18" s="396"/>
      <c r="Q18" s="320"/>
      <c r="R18" s="396"/>
    </row>
    <row r="19" spans="1:18" x14ac:dyDescent="0.15">
      <c r="A19" s="396"/>
      <c r="B19" s="725" t="s">
        <v>123</v>
      </c>
      <c r="C19" s="532"/>
      <c r="D19" s="533"/>
      <c r="E19" s="532"/>
      <c r="F19" s="534">
        <v>0.2</v>
      </c>
      <c r="G19" s="534">
        <v>0.3</v>
      </c>
      <c r="H19" s="535">
        <v>0.5</v>
      </c>
      <c r="I19" s="396"/>
      <c r="J19" s="396"/>
      <c r="K19" s="52"/>
      <c r="L19" s="53" t="s">
        <v>125</v>
      </c>
      <c r="M19" s="53" t="s">
        <v>110</v>
      </c>
      <c r="N19" s="53" t="s">
        <v>126</v>
      </c>
      <c r="O19" s="396"/>
      <c r="P19" s="396"/>
      <c r="Q19" s="320"/>
      <c r="R19" s="396"/>
    </row>
    <row r="20" spans="1:18" x14ac:dyDescent="0.15">
      <c r="A20" s="396"/>
      <c r="B20" s="725"/>
      <c r="C20" s="532" t="s">
        <v>110</v>
      </c>
      <c r="D20" s="533">
        <v>414809</v>
      </c>
      <c r="E20" s="532"/>
      <c r="F20" s="533">
        <f>D20*F19</f>
        <v>82961.8</v>
      </c>
      <c r="G20" s="533">
        <f>D20*G19</f>
        <v>124442.7</v>
      </c>
      <c r="H20" s="542">
        <f>D20*H19</f>
        <v>207404.5</v>
      </c>
      <c r="I20" s="396"/>
      <c r="J20" s="396"/>
      <c r="K20" s="54" t="s">
        <v>105</v>
      </c>
      <c r="L20" s="55">
        <f>Assumptions!C6*Assumptions!C7</f>
        <v>1500</v>
      </c>
      <c r="M20" s="56">
        <v>600</v>
      </c>
      <c r="N20" s="57">
        <f>L20/M20</f>
        <v>2.5</v>
      </c>
      <c r="O20" s="396"/>
      <c r="P20" s="396"/>
      <c r="Q20" s="320"/>
      <c r="R20" s="396"/>
    </row>
    <row r="21" spans="1:18" x14ac:dyDescent="0.15">
      <c r="A21" s="396"/>
      <c r="B21" s="725"/>
      <c r="C21" s="532" t="s">
        <v>112</v>
      </c>
      <c r="D21" s="533">
        <f>SUM(F21:H21)</f>
        <v>474.17478079710145</v>
      </c>
      <c r="E21" s="532"/>
      <c r="F21" s="533">
        <f>F20/$M$20</f>
        <v>138.26966666666667</v>
      </c>
      <c r="G21" s="533">
        <f>G20/$M$21</f>
        <v>155.55337499999999</v>
      </c>
      <c r="H21" s="542">
        <f>H20/$M$22</f>
        <v>180.35173913043479</v>
      </c>
      <c r="I21" s="528"/>
      <c r="J21" s="396"/>
      <c r="K21" s="54" t="s">
        <v>128</v>
      </c>
      <c r="L21" s="55">
        <f>Assumptions!C10*Assumptions!C11</f>
        <v>1839.9999999999998</v>
      </c>
      <c r="M21" s="56">
        <v>800</v>
      </c>
      <c r="N21" s="57">
        <f>L21/M21</f>
        <v>2.2999999999999998</v>
      </c>
      <c r="O21" s="396"/>
      <c r="P21" s="396"/>
      <c r="Q21" s="320"/>
      <c r="R21" s="396"/>
    </row>
    <row r="22" spans="1:18" x14ac:dyDescent="0.15">
      <c r="A22" s="396"/>
      <c r="B22" s="724" t="s">
        <v>127</v>
      </c>
      <c r="C22" s="59"/>
      <c r="D22" s="60"/>
      <c r="E22" s="59"/>
      <c r="F22" s="61">
        <v>0.2</v>
      </c>
      <c r="G22" s="61">
        <v>0.5</v>
      </c>
      <c r="H22" s="62">
        <v>0.3</v>
      </c>
      <c r="I22" s="396"/>
      <c r="J22" s="396"/>
      <c r="K22" s="54" t="s">
        <v>129</v>
      </c>
      <c r="L22" s="55">
        <f>Assumptions!C14*Assumptions!C15</f>
        <v>2760</v>
      </c>
      <c r="M22" s="56">
        <v>1150</v>
      </c>
      <c r="N22" s="57">
        <f>L22/M22</f>
        <v>2.4</v>
      </c>
      <c r="O22" s="396"/>
      <c r="P22" s="396"/>
      <c r="Q22" s="320"/>
      <c r="R22" s="396"/>
    </row>
    <row r="23" spans="1:18" x14ac:dyDescent="0.15">
      <c r="A23" s="396"/>
      <c r="B23" s="724"/>
      <c r="C23" s="59" t="s">
        <v>110</v>
      </c>
      <c r="D23" s="60">
        <v>308592</v>
      </c>
      <c r="E23" s="59"/>
      <c r="F23" s="60">
        <f>D23*F22</f>
        <v>61718.400000000001</v>
      </c>
      <c r="G23" s="60">
        <f>D23*G22</f>
        <v>154296</v>
      </c>
      <c r="H23" s="63">
        <f>D23*H22</f>
        <v>92577.599999999991</v>
      </c>
      <c r="I23" s="396"/>
      <c r="J23" s="396"/>
      <c r="K23" s="396"/>
      <c r="L23" s="396"/>
      <c r="M23" s="396"/>
      <c r="N23" s="396"/>
      <c r="O23" s="396"/>
      <c r="P23" s="396"/>
      <c r="Q23" s="320"/>
      <c r="R23" s="396"/>
    </row>
    <row r="24" spans="1:18" x14ac:dyDescent="0.15">
      <c r="A24" s="396"/>
      <c r="B24" s="724"/>
      <c r="C24" s="59" t="s">
        <v>112</v>
      </c>
      <c r="D24" s="64">
        <f>SUM(F24:H24)</f>
        <v>376.23626086956523</v>
      </c>
      <c r="E24" s="59"/>
      <c r="F24" s="60">
        <f>F23/$M$20</f>
        <v>102.864</v>
      </c>
      <c r="G24" s="60">
        <f>G23/$M$21</f>
        <v>192.87</v>
      </c>
      <c r="H24" s="63">
        <f>H23/$M$22</f>
        <v>80.502260869565205</v>
      </c>
      <c r="I24" s="528"/>
      <c r="J24" s="396"/>
      <c r="K24" s="396"/>
      <c r="L24" s="396"/>
      <c r="M24" s="396"/>
      <c r="N24" s="396"/>
      <c r="O24" s="396"/>
      <c r="P24" s="396"/>
      <c r="Q24" s="320"/>
      <c r="R24" s="396"/>
    </row>
    <row r="25" spans="1:18" x14ac:dyDescent="0.15">
      <c r="A25" s="396"/>
      <c r="B25" s="725" t="s">
        <v>130</v>
      </c>
      <c r="C25" s="532"/>
      <c r="D25" s="533"/>
      <c r="E25" s="532"/>
      <c r="F25" s="534">
        <v>0.2</v>
      </c>
      <c r="G25" s="534">
        <v>0.5</v>
      </c>
      <c r="H25" s="535">
        <v>0.3</v>
      </c>
      <c r="I25" s="396"/>
      <c r="J25" s="396"/>
      <c r="K25" s="396"/>
      <c r="L25" s="396"/>
      <c r="M25" s="396"/>
      <c r="N25" s="396"/>
      <c r="O25" s="396"/>
      <c r="P25" s="396"/>
      <c r="Q25" s="320"/>
      <c r="R25" s="396"/>
    </row>
    <row r="26" spans="1:18" x14ac:dyDescent="0.15">
      <c r="A26" s="396"/>
      <c r="B26" s="725"/>
      <c r="C26" s="532" t="s">
        <v>110</v>
      </c>
      <c r="D26" s="533">
        <v>229516</v>
      </c>
      <c r="E26" s="532"/>
      <c r="F26" s="533">
        <f>D26*F25</f>
        <v>45903.200000000004</v>
      </c>
      <c r="G26" s="533">
        <f>D26*G25</f>
        <v>114758</v>
      </c>
      <c r="H26" s="542">
        <f>D26*H25</f>
        <v>68854.8</v>
      </c>
      <c r="I26" s="396"/>
      <c r="J26" s="396"/>
      <c r="K26" s="396"/>
      <c r="L26" s="396"/>
      <c r="M26" s="396"/>
      <c r="N26" s="396"/>
      <c r="O26" s="396"/>
      <c r="P26" s="396"/>
      <c r="Q26" s="320"/>
      <c r="R26" s="396"/>
    </row>
    <row r="27" spans="1:18" x14ac:dyDescent="0.15">
      <c r="A27" s="396"/>
      <c r="B27" s="725"/>
      <c r="C27" s="532" t="s">
        <v>112</v>
      </c>
      <c r="D27" s="533">
        <f>SUM(F27:H27)</f>
        <v>279.82657246376812</v>
      </c>
      <c r="E27" s="532"/>
      <c r="F27" s="533">
        <f>F26/$M$20</f>
        <v>76.50533333333334</v>
      </c>
      <c r="G27" s="533">
        <f>G26/$M$21</f>
        <v>143.44749999999999</v>
      </c>
      <c r="H27" s="542">
        <f>H26/$M$22</f>
        <v>59.873739130434785</v>
      </c>
      <c r="I27" s="528"/>
      <c r="J27" s="396"/>
      <c r="K27" s="396"/>
      <c r="L27" s="396"/>
      <c r="M27" s="396"/>
      <c r="N27" s="396"/>
      <c r="O27" s="396"/>
      <c r="P27" s="396"/>
      <c r="Q27" s="320"/>
      <c r="R27" s="396"/>
    </row>
    <row r="28" spans="1:18" x14ac:dyDescent="0.15">
      <c r="A28" s="396"/>
      <c r="B28" s="724" t="s">
        <v>131</v>
      </c>
      <c r="C28" s="59"/>
      <c r="D28" s="60"/>
      <c r="E28" s="59"/>
      <c r="F28" s="61"/>
      <c r="G28" s="61"/>
      <c r="H28" s="62"/>
      <c r="I28" s="396"/>
      <c r="J28" s="396"/>
      <c r="K28" s="396"/>
      <c r="L28" s="396"/>
      <c r="M28" s="396"/>
      <c r="N28" s="396"/>
      <c r="O28" s="396"/>
      <c r="P28" s="396"/>
      <c r="Q28" s="320"/>
      <c r="R28" s="396"/>
    </row>
    <row r="29" spans="1:18" x14ac:dyDescent="0.15">
      <c r="A29" s="396"/>
      <c r="B29" s="724"/>
      <c r="C29" s="59"/>
      <c r="D29" s="60">
        <v>0</v>
      </c>
      <c r="E29" s="59"/>
      <c r="F29" s="60"/>
      <c r="G29" s="60"/>
      <c r="H29" s="63"/>
      <c r="I29" s="396"/>
      <c r="J29" s="396"/>
      <c r="K29" s="396"/>
      <c r="L29" s="396"/>
      <c r="M29" s="396"/>
      <c r="N29" s="396"/>
      <c r="O29" s="396"/>
      <c r="P29" s="396"/>
      <c r="Q29" s="320"/>
      <c r="R29" s="396"/>
    </row>
    <row r="30" spans="1:18" x14ac:dyDescent="0.15">
      <c r="A30" s="396"/>
      <c r="B30" s="724"/>
      <c r="C30" s="59"/>
      <c r="D30" s="64"/>
      <c r="E30" s="59"/>
      <c r="F30" s="60"/>
      <c r="G30" s="60"/>
      <c r="H30" s="63"/>
      <c r="I30" s="396"/>
      <c r="J30" s="396"/>
      <c r="K30" s="396"/>
      <c r="L30" s="396"/>
      <c r="M30" s="396"/>
      <c r="N30" s="396"/>
      <c r="O30" s="396"/>
      <c r="P30" s="396"/>
      <c r="Q30" s="320"/>
      <c r="R30" s="396"/>
    </row>
    <row r="31" spans="1:18" x14ac:dyDescent="0.15">
      <c r="A31" s="396"/>
      <c r="B31" s="725" t="s">
        <v>132</v>
      </c>
      <c r="C31" s="532"/>
      <c r="D31" s="533"/>
      <c r="E31" s="532"/>
      <c r="F31" s="534">
        <v>0.2</v>
      </c>
      <c r="G31" s="534">
        <v>0.6</v>
      </c>
      <c r="H31" s="535">
        <v>0.2</v>
      </c>
      <c r="I31" s="396"/>
      <c r="J31" s="396"/>
      <c r="K31" s="396"/>
      <c r="L31" s="396"/>
      <c r="M31" s="396"/>
      <c r="N31" s="396"/>
      <c r="O31" s="396"/>
      <c r="P31" s="396"/>
      <c r="Q31" s="320"/>
      <c r="R31" s="396"/>
    </row>
    <row r="32" spans="1:18" x14ac:dyDescent="0.15">
      <c r="A32" s="396"/>
      <c r="B32" s="725"/>
      <c r="C32" s="532" t="s">
        <v>110</v>
      </c>
      <c r="D32" s="533">
        <v>45317</v>
      </c>
      <c r="E32" s="532"/>
      <c r="F32" s="533">
        <f>D32*F31</f>
        <v>9063.4</v>
      </c>
      <c r="G32" s="533">
        <f>D32*G31</f>
        <v>27190.2</v>
      </c>
      <c r="H32" s="542">
        <f>D32*H31</f>
        <v>9063.4</v>
      </c>
      <c r="I32" s="396"/>
      <c r="J32" s="396"/>
      <c r="K32" s="396"/>
      <c r="L32" s="396"/>
      <c r="M32" s="396"/>
      <c r="N32" s="396"/>
      <c r="O32" s="396"/>
      <c r="P32" s="396"/>
      <c r="Q32" s="320"/>
      <c r="R32" s="396"/>
    </row>
    <row r="33" spans="1:18" x14ac:dyDescent="0.15">
      <c r="A33" s="396"/>
      <c r="B33" s="725"/>
      <c r="C33" s="532" t="s">
        <v>112</v>
      </c>
      <c r="D33" s="533">
        <f>SUM(F33:H33)</f>
        <v>56.974634057971009</v>
      </c>
      <c r="E33" s="532"/>
      <c r="F33" s="533">
        <f>F32/$M$20</f>
        <v>15.105666666666666</v>
      </c>
      <c r="G33" s="533">
        <f>G32/$M$21</f>
        <v>33.987749999999998</v>
      </c>
      <c r="H33" s="542">
        <f>H32/$M$22</f>
        <v>7.8812173913043475</v>
      </c>
      <c r="I33" s="528"/>
      <c r="J33" s="396"/>
      <c r="K33" s="396"/>
      <c r="L33" s="396"/>
      <c r="M33" s="396"/>
      <c r="N33" s="396"/>
      <c r="O33" s="396"/>
      <c r="P33" s="396"/>
      <c r="Q33" s="320"/>
      <c r="R33" s="396"/>
    </row>
    <row r="34" spans="1:18" x14ac:dyDescent="0.15">
      <c r="A34" s="396"/>
      <c r="B34" s="724" t="s">
        <v>133</v>
      </c>
      <c r="C34" s="59"/>
      <c r="D34" s="60"/>
      <c r="E34" s="59"/>
      <c r="F34" s="61">
        <v>0.2</v>
      </c>
      <c r="G34" s="61">
        <v>0.2</v>
      </c>
      <c r="H34" s="62">
        <v>0.6</v>
      </c>
      <c r="I34" s="396"/>
      <c r="J34" s="396"/>
      <c r="K34" s="396"/>
      <c r="L34" s="396"/>
      <c r="M34" s="396"/>
      <c r="N34" s="396"/>
      <c r="O34" s="396"/>
      <c r="P34" s="396"/>
      <c r="Q34" s="320"/>
      <c r="R34" s="396"/>
    </row>
    <row r="35" spans="1:18" x14ac:dyDescent="0.15">
      <c r="A35" s="396"/>
      <c r="B35" s="724"/>
      <c r="C35" s="59" t="s">
        <v>110</v>
      </c>
      <c r="D35" s="60">
        <v>248442</v>
      </c>
      <c r="E35" s="59"/>
      <c r="F35" s="60">
        <f>D35*F34</f>
        <v>49688.4</v>
      </c>
      <c r="G35" s="60">
        <f>D35*G34</f>
        <v>49688.4</v>
      </c>
      <c r="H35" s="63">
        <f>D35*H34</f>
        <v>149065.19999999998</v>
      </c>
      <c r="I35" s="396"/>
      <c r="J35" s="396"/>
      <c r="K35" s="396"/>
      <c r="L35" s="396"/>
      <c r="M35" s="396"/>
      <c r="N35" s="396"/>
      <c r="O35" s="396"/>
      <c r="P35" s="396"/>
      <c r="Q35" s="320"/>
      <c r="R35" s="396"/>
    </row>
    <row r="36" spans="1:18" x14ac:dyDescent="0.15">
      <c r="A36" s="396"/>
      <c r="B36" s="724"/>
      <c r="C36" s="59" t="s">
        <v>112</v>
      </c>
      <c r="D36" s="64">
        <f>SUM(F36:H36)</f>
        <v>274.54641304347831</v>
      </c>
      <c r="E36" s="59"/>
      <c r="F36" s="60">
        <f>F35/$M$20</f>
        <v>82.814000000000007</v>
      </c>
      <c r="G36" s="60">
        <f>G35/$M$21</f>
        <v>62.110500000000002</v>
      </c>
      <c r="H36" s="63">
        <f>H35/$M$22</f>
        <v>129.62191304347826</v>
      </c>
      <c r="I36" s="528"/>
      <c r="J36" s="396"/>
      <c r="K36" s="396"/>
      <c r="L36" s="396"/>
      <c r="M36" s="396"/>
      <c r="N36" s="396"/>
      <c r="O36" s="396"/>
      <c r="P36" s="396"/>
      <c r="Q36" s="320"/>
      <c r="R36" s="396"/>
    </row>
    <row r="37" spans="1:18" x14ac:dyDescent="0.15">
      <c r="A37" s="396"/>
      <c r="B37" s="725" t="s">
        <v>28</v>
      </c>
      <c r="C37" s="532"/>
      <c r="D37" s="533"/>
      <c r="E37" s="532"/>
      <c r="F37" s="534"/>
      <c r="G37" s="534"/>
      <c r="H37" s="535"/>
      <c r="I37" s="396"/>
      <c r="J37" s="396"/>
      <c r="K37" s="396"/>
      <c r="L37" s="396"/>
      <c r="M37" s="396"/>
      <c r="N37" s="396"/>
      <c r="O37" s="396"/>
      <c r="P37" s="396"/>
      <c r="Q37" s="320"/>
      <c r="R37" s="396"/>
    </row>
    <row r="38" spans="1:18" x14ac:dyDescent="0.15">
      <c r="A38" s="396"/>
      <c r="B38" s="725" t="s">
        <v>28</v>
      </c>
      <c r="C38" s="532" t="s">
        <v>110</v>
      </c>
      <c r="D38" s="533">
        <f>D5+D8+D14+D20+D23+D26+D11+D29+D32+D35</f>
        <v>1562052</v>
      </c>
      <c r="E38" s="532"/>
      <c r="F38" s="533">
        <f t="shared" ref="F38:H39" si="1">F5+F8+F14+F20+F23+F26+F11+F29+F32+F35</f>
        <v>318995.20000000001</v>
      </c>
      <c r="G38" s="533">
        <f t="shared" si="1"/>
        <v>613160.9</v>
      </c>
      <c r="H38" s="542">
        <f t="shared" si="1"/>
        <v>629895.9</v>
      </c>
      <c r="I38" s="396"/>
      <c r="J38" s="396"/>
      <c r="K38" s="554"/>
      <c r="L38" s="396"/>
      <c r="M38" s="396"/>
      <c r="N38" s="396"/>
      <c r="O38" s="396"/>
      <c r="P38" s="396"/>
      <c r="Q38" s="320"/>
      <c r="R38" s="396"/>
    </row>
    <row r="39" spans="1:18" x14ac:dyDescent="0.15">
      <c r="A39" s="396"/>
      <c r="B39" s="725"/>
      <c r="C39" s="532" t="s">
        <v>112</v>
      </c>
      <c r="D39" s="533">
        <f>D6+D9+D15+D21+D24+D27+D12+D30+D33+D36</f>
        <v>1845.8453568840582</v>
      </c>
      <c r="E39" s="532"/>
      <c r="F39" s="533">
        <f t="shared" si="1"/>
        <v>531.65866666666659</v>
      </c>
      <c r="G39" s="533">
        <f t="shared" si="1"/>
        <v>766.45112500000005</v>
      </c>
      <c r="H39" s="542">
        <f t="shared" si="1"/>
        <v>547.73556521739135</v>
      </c>
      <c r="I39" s="396"/>
      <c r="J39" s="396"/>
      <c r="K39" s="554"/>
      <c r="L39" s="396"/>
      <c r="M39" s="396"/>
      <c r="N39" s="396"/>
      <c r="O39" s="396"/>
      <c r="P39" s="396"/>
      <c r="Q39" s="320"/>
      <c r="R39" s="396"/>
    </row>
    <row r="40" spans="1:18" x14ac:dyDescent="0.15">
      <c r="A40" s="396"/>
      <c r="B40" s="568"/>
      <c r="C40" s="569"/>
      <c r="D40" s="570"/>
      <c r="E40" s="569"/>
      <c r="F40" s="571">
        <f>F39/$D$39</f>
        <v>0.28802990710129206</v>
      </c>
      <c r="G40" s="571">
        <f>G39/$D$39</f>
        <v>0.41523041035996311</v>
      </c>
      <c r="H40" s="572">
        <f>H39/$D$39</f>
        <v>0.29673968253874472</v>
      </c>
      <c r="I40" s="396"/>
      <c r="J40" s="396"/>
      <c r="K40" s="396"/>
      <c r="L40" s="396"/>
      <c r="M40" s="396"/>
      <c r="N40" s="396"/>
      <c r="O40" s="396"/>
      <c r="P40" s="396"/>
      <c r="Q40" s="320"/>
      <c r="R40" s="396"/>
    </row>
    <row r="41" spans="1:18" x14ac:dyDescent="0.15">
      <c r="A41" s="396"/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20"/>
      <c r="R41" s="396"/>
    </row>
    <row r="42" spans="1:18" x14ac:dyDescent="0.15">
      <c r="A42" s="396"/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20"/>
      <c r="R42" s="396"/>
    </row>
    <row r="43" spans="1:18" x14ac:dyDescent="0.15">
      <c r="A43" s="396"/>
      <c r="B43" s="561" t="s">
        <v>57</v>
      </c>
      <c r="C43" s="562"/>
      <c r="D43" s="562"/>
      <c r="E43" s="562"/>
      <c r="F43" s="562"/>
      <c r="G43" s="562"/>
      <c r="H43" s="562"/>
      <c r="I43" s="529"/>
      <c r="J43" s="396"/>
      <c r="K43" s="396"/>
      <c r="L43" s="396"/>
      <c r="M43" s="396"/>
      <c r="N43" s="396"/>
      <c r="O43" s="396"/>
      <c r="P43" s="396"/>
      <c r="Q43" s="320"/>
      <c r="R43" s="396"/>
    </row>
    <row r="44" spans="1:18" x14ac:dyDescent="0.15">
      <c r="A44" s="396"/>
      <c r="B44" s="563"/>
      <c r="C44" s="532" t="s">
        <v>110</v>
      </c>
      <c r="D44" s="564">
        <f>H38*I45</f>
        <v>424544.43208333332</v>
      </c>
      <c r="E44" s="532"/>
      <c r="F44" s="532"/>
      <c r="G44" s="532"/>
      <c r="H44" s="533">
        <f>H45*M22</f>
        <v>424544.43208333338</v>
      </c>
      <c r="I44" s="530"/>
      <c r="J44" s="396"/>
      <c r="K44" s="396"/>
      <c r="L44" s="396"/>
      <c r="M44" s="396"/>
      <c r="N44" s="396"/>
      <c r="O44" s="396"/>
      <c r="P44" s="396"/>
      <c r="Q44" s="320"/>
      <c r="R44" s="396"/>
    </row>
    <row r="45" spans="1:18" x14ac:dyDescent="0.15">
      <c r="A45" s="396"/>
      <c r="B45" s="565"/>
      <c r="C45" s="566" t="s">
        <v>112</v>
      </c>
      <c r="D45" s="567">
        <f>SUM(F45:H45)</f>
        <v>369.16907137681164</v>
      </c>
      <c r="E45" s="566"/>
      <c r="F45" s="566">
        <v>0</v>
      </c>
      <c r="G45" s="566"/>
      <c r="H45" s="567">
        <f>D39*0.2</f>
        <v>369.16907137681164</v>
      </c>
      <c r="I45" s="531">
        <f>H45/H39</f>
        <v>0.67399141998437095</v>
      </c>
      <c r="J45" s="396"/>
      <c r="K45" s="396"/>
      <c r="L45" s="396"/>
      <c r="M45" s="396"/>
      <c r="N45" s="396"/>
      <c r="O45" s="396"/>
      <c r="P45" s="396"/>
      <c r="Q45" s="320"/>
      <c r="R45" s="396"/>
    </row>
    <row r="46" spans="1:18" x14ac:dyDescent="0.15">
      <c r="B46" s="396"/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20"/>
      <c r="R46" s="396"/>
    </row>
    <row r="47" spans="1:18" x14ac:dyDescent="0.15">
      <c r="B47" s="396"/>
      <c r="C47" s="396"/>
      <c r="D47" s="396"/>
      <c r="E47" s="396"/>
      <c r="F47" s="396"/>
      <c r="G47" s="396"/>
      <c r="H47" s="396"/>
      <c r="I47" s="396"/>
      <c r="J47" s="396"/>
    </row>
  </sheetData>
  <mergeCells count="14">
    <mergeCell ref="U3:U4"/>
    <mergeCell ref="V4:W4"/>
    <mergeCell ref="B22:B24"/>
    <mergeCell ref="B25:B27"/>
    <mergeCell ref="B37:B39"/>
    <mergeCell ref="B28:B30"/>
    <mergeCell ref="B31:B33"/>
    <mergeCell ref="B34:B36"/>
    <mergeCell ref="B4:B6"/>
    <mergeCell ref="B7:B9"/>
    <mergeCell ref="B10:B12"/>
    <mergeCell ref="B13:B15"/>
    <mergeCell ref="B16:B18"/>
    <mergeCell ref="B19:B2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8"/>
  <sheetViews>
    <sheetView view="pageLayout" zoomScaleNormal="100" workbookViewId="0">
      <selection activeCell="B7" sqref="B7"/>
    </sheetView>
  </sheetViews>
  <sheetFormatPr baseColWidth="10" defaultColWidth="9.1640625" defaultRowHeight="13" x14ac:dyDescent="0.15"/>
  <cols>
    <col min="1" max="1" width="23.1640625" style="1" customWidth="1"/>
    <col min="2" max="3" width="8.83203125" style="3" customWidth="1"/>
    <col min="4" max="13" width="8.83203125" style="1" customWidth="1"/>
    <col min="14" max="16384" width="9.1640625" style="1"/>
  </cols>
  <sheetData>
    <row r="1" spans="1:13" ht="14.25" customHeight="1" x14ac:dyDescent="0.15">
      <c r="L1" s="21" t="s">
        <v>46</v>
      </c>
      <c r="M1" s="22"/>
    </row>
    <row r="2" spans="1:13" ht="14.25" customHeight="1" x14ac:dyDescent="0.15"/>
    <row r="3" spans="1:13" ht="14.25" customHeight="1" x14ac:dyDescent="0.15">
      <c r="B3" s="29"/>
      <c r="C3" s="29" t="s">
        <v>68</v>
      </c>
      <c r="D3" s="23" t="s">
        <v>35</v>
      </c>
      <c r="E3" s="24"/>
      <c r="F3" s="24"/>
      <c r="G3" s="24"/>
      <c r="H3" s="24"/>
      <c r="I3" s="24"/>
      <c r="J3" s="24"/>
      <c r="K3" s="24"/>
      <c r="L3" s="24"/>
      <c r="M3" s="24"/>
    </row>
    <row r="4" spans="1:13" ht="14.25" customHeight="1" x14ac:dyDescent="0.15">
      <c r="A4" s="4"/>
      <c r="B4" s="30" t="s">
        <v>19</v>
      </c>
      <c r="C4" s="30" t="s">
        <v>88</v>
      </c>
      <c r="D4" s="30">
        <v>2021</v>
      </c>
      <c r="E4" s="30">
        <f>D4+1</f>
        <v>2022</v>
      </c>
      <c r="F4" s="30">
        <f t="shared" ref="F4:M4" si="0">E4+1</f>
        <v>2023</v>
      </c>
      <c r="G4" s="30">
        <f t="shared" si="0"/>
        <v>2024</v>
      </c>
      <c r="H4" s="30">
        <f t="shared" si="0"/>
        <v>2025</v>
      </c>
      <c r="I4" s="30">
        <f t="shared" si="0"/>
        <v>2026</v>
      </c>
      <c r="J4" s="30">
        <f t="shared" si="0"/>
        <v>2027</v>
      </c>
      <c r="K4" s="30">
        <f t="shared" si="0"/>
        <v>2028</v>
      </c>
      <c r="L4" s="30">
        <f t="shared" si="0"/>
        <v>2029</v>
      </c>
      <c r="M4" s="30">
        <f t="shared" si="0"/>
        <v>2030</v>
      </c>
    </row>
    <row r="5" spans="1:13" ht="18" customHeight="1" x14ac:dyDescent="0.15">
      <c r="A5" s="7" t="s">
        <v>15</v>
      </c>
      <c r="B5" s="31"/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4.25" customHeight="1" x14ac:dyDescent="0.15">
      <c r="A6" s="8" t="s">
        <v>12</v>
      </c>
      <c r="B6" s="16">
        <v>0.02</v>
      </c>
      <c r="C6" s="16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4.25" customHeight="1" x14ac:dyDescent="0.15">
      <c r="A7" s="8" t="s">
        <v>86</v>
      </c>
      <c r="B7" s="35"/>
      <c r="C7" s="35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ht="14.25" customHeight="1" x14ac:dyDescent="0.15">
      <c r="A8" s="8" t="s">
        <v>85</v>
      </c>
      <c r="B8" s="26"/>
      <c r="C8" s="26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4.25" customHeight="1" x14ac:dyDescent="0.15">
      <c r="A9" s="8" t="s">
        <v>37</v>
      </c>
      <c r="B9" s="13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4.25" customHeight="1" x14ac:dyDescent="0.15">
      <c r="A10" s="8" t="s">
        <v>41</v>
      </c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4.25" customHeight="1" x14ac:dyDescent="0.15">
      <c r="A11" s="9" t="s">
        <v>42</v>
      </c>
      <c r="B11" s="18"/>
      <c r="C11" s="18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8" customHeight="1" x14ac:dyDescent="0.15">
      <c r="A12" s="7" t="s">
        <v>0</v>
      </c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4.25" customHeight="1" x14ac:dyDescent="0.15">
      <c r="A13" s="8" t="s">
        <v>16</v>
      </c>
      <c r="B13" s="13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4.25" customHeight="1" x14ac:dyDescent="0.15">
      <c r="A14" s="8" t="s">
        <v>43</v>
      </c>
      <c r="B14" s="16"/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4.25" customHeight="1" x14ac:dyDescent="0.15">
      <c r="A15" s="15" t="s">
        <v>44</v>
      </c>
      <c r="B15" s="17"/>
      <c r="C15" s="17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14.25" customHeight="1" x14ac:dyDescent="0.15">
      <c r="A16" s="11" t="s">
        <v>5</v>
      </c>
      <c r="B16" s="18"/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8" customHeight="1" x14ac:dyDescent="0.15">
      <c r="A17" s="7" t="s">
        <v>2</v>
      </c>
      <c r="B17" s="26"/>
      <c r="C17" s="26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4.25" customHeight="1" x14ac:dyDescent="0.15">
      <c r="A18" s="8" t="s">
        <v>13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4.25" customHeight="1" x14ac:dyDescent="0.15">
      <c r="A19" s="8" t="s">
        <v>2</v>
      </c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4.25" customHeight="1" x14ac:dyDescent="0.15">
      <c r="A20" s="8" t="s">
        <v>14</v>
      </c>
      <c r="B20" s="13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4.25" customHeight="1" x14ac:dyDescent="0.15">
      <c r="A21" s="11" t="s">
        <v>3</v>
      </c>
      <c r="B21" s="18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8" customHeight="1" x14ac:dyDescent="0.15">
      <c r="A22" s="7" t="s">
        <v>4</v>
      </c>
      <c r="B22" s="26"/>
      <c r="C22" s="26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4.25" customHeight="1" x14ac:dyDescent="0.15">
      <c r="A23" s="8" t="s">
        <v>5</v>
      </c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4.25" customHeight="1" x14ac:dyDescent="0.15">
      <c r="A24" s="8" t="s">
        <v>3</v>
      </c>
      <c r="B24" s="16"/>
      <c r="C24" s="16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4.25" customHeight="1" x14ac:dyDescent="0.15">
      <c r="A25" s="9" t="s">
        <v>6</v>
      </c>
      <c r="B25" s="34"/>
      <c r="C25" s="34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8" customHeight="1" x14ac:dyDescent="0.15">
      <c r="A26" s="7" t="s">
        <v>20</v>
      </c>
      <c r="B26" s="35"/>
      <c r="C26" s="35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8" customHeight="1" x14ac:dyDescent="0.15">
      <c r="A27" s="10" t="s">
        <v>72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8" customHeight="1" x14ac:dyDescent="0.15">
      <c r="A28" s="10" t="s">
        <v>67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</sheetData>
  <phoneticPr fontId="5" type="noConversion"/>
  <pageMargins left="0.5" right="0.5" top="1" bottom="0.5" header="0.5" footer="0.5"/>
  <pageSetup orientation="landscape" r:id="rId1"/>
  <headerFooter alignWithMargins="0">
    <oddHeader>&amp;L&amp;"Arial,Bold"3. Income Statement: Market-rate For Sale Housing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8"/>
  <sheetViews>
    <sheetView view="pageLayout" topLeftCell="A16" zoomScaleNormal="100" workbookViewId="0">
      <selection activeCell="B7" sqref="B7"/>
    </sheetView>
  </sheetViews>
  <sheetFormatPr baseColWidth="10" defaultColWidth="9.1640625" defaultRowHeight="13" x14ac:dyDescent="0.15"/>
  <cols>
    <col min="1" max="1" width="23.1640625" style="1" customWidth="1"/>
    <col min="2" max="3" width="8.5" style="3" customWidth="1"/>
    <col min="4" max="13" width="8.5" style="1" customWidth="1"/>
    <col min="14" max="16384" width="9.1640625" style="1"/>
  </cols>
  <sheetData>
    <row r="1" spans="1:13" ht="14.25" customHeight="1" x14ac:dyDescent="0.15">
      <c r="L1" s="21" t="s">
        <v>46</v>
      </c>
      <c r="M1" s="22"/>
    </row>
    <row r="2" spans="1:13" ht="14.25" customHeight="1" x14ac:dyDescent="0.15"/>
    <row r="3" spans="1:13" ht="14.25" customHeight="1" x14ac:dyDescent="0.15">
      <c r="B3" s="29"/>
      <c r="C3" s="29" t="s">
        <v>68</v>
      </c>
      <c r="D3" s="23" t="s">
        <v>35</v>
      </c>
      <c r="E3" s="24"/>
      <c r="F3" s="24"/>
      <c r="G3" s="24"/>
      <c r="H3" s="24"/>
      <c r="I3" s="24"/>
      <c r="J3" s="24"/>
      <c r="K3" s="24"/>
      <c r="L3" s="24"/>
      <c r="M3" s="24"/>
    </row>
    <row r="4" spans="1:13" ht="14.25" customHeight="1" x14ac:dyDescent="0.15">
      <c r="A4" s="4"/>
      <c r="B4" s="30" t="s">
        <v>19</v>
      </c>
      <c r="C4" s="30" t="s">
        <v>88</v>
      </c>
      <c r="D4" s="30">
        <v>2021</v>
      </c>
      <c r="E4" s="30">
        <f t="shared" ref="E4:M4" si="0">D4+1</f>
        <v>2022</v>
      </c>
      <c r="F4" s="30">
        <f t="shared" si="0"/>
        <v>2023</v>
      </c>
      <c r="G4" s="30">
        <f t="shared" si="0"/>
        <v>2024</v>
      </c>
      <c r="H4" s="30">
        <f t="shared" si="0"/>
        <v>2025</v>
      </c>
      <c r="I4" s="30">
        <f t="shared" si="0"/>
        <v>2026</v>
      </c>
      <c r="J4" s="30">
        <f t="shared" si="0"/>
        <v>2027</v>
      </c>
      <c r="K4" s="30">
        <f t="shared" si="0"/>
        <v>2028</v>
      </c>
      <c r="L4" s="30">
        <f t="shared" si="0"/>
        <v>2029</v>
      </c>
      <c r="M4" s="30">
        <f t="shared" si="0"/>
        <v>2030</v>
      </c>
    </row>
    <row r="5" spans="1:13" ht="18" customHeight="1" x14ac:dyDescent="0.15">
      <c r="A5" s="7" t="s">
        <v>15</v>
      </c>
      <c r="B5" s="31"/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4.25" customHeight="1" x14ac:dyDescent="0.15">
      <c r="A6" s="8" t="s">
        <v>12</v>
      </c>
      <c r="B6" s="16">
        <v>0.02</v>
      </c>
      <c r="C6" s="16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4.25" customHeight="1" x14ac:dyDescent="0.15">
      <c r="A7" s="8" t="s">
        <v>40</v>
      </c>
      <c r="B7" s="26"/>
      <c r="C7" s="26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4.25" customHeight="1" x14ac:dyDescent="0.15">
      <c r="A8" s="8" t="s">
        <v>37</v>
      </c>
      <c r="B8" s="13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4.25" customHeight="1" x14ac:dyDescent="0.15">
      <c r="A9" s="8" t="s">
        <v>41</v>
      </c>
      <c r="B9" s="13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4.25" customHeight="1" x14ac:dyDescent="0.15">
      <c r="A10" s="9" t="s">
        <v>42</v>
      </c>
      <c r="B10" s="18"/>
      <c r="C10" s="18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8" customHeight="1" x14ac:dyDescent="0.15">
      <c r="A11" s="7" t="s">
        <v>0</v>
      </c>
      <c r="B11" s="26"/>
      <c r="C11" s="26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4.25" customHeight="1" x14ac:dyDescent="0.15">
      <c r="A12" s="8" t="s">
        <v>16</v>
      </c>
      <c r="B12" s="13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4.25" customHeight="1" x14ac:dyDescent="0.15">
      <c r="A13" s="8" t="s">
        <v>43</v>
      </c>
      <c r="B13" s="16"/>
      <c r="C13" s="16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4.25" customHeight="1" x14ac:dyDescent="0.15">
      <c r="A14" s="15" t="s">
        <v>44</v>
      </c>
      <c r="B14" s="17"/>
      <c r="C14" s="17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14.25" customHeight="1" x14ac:dyDescent="0.15">
      <c r="A15" s="11" t="s">
        <v>5</v>
      </c>
      <c r="B15" s="18"/>
      <c r="C15" s="18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8" customHeight="1" x14ac:dyDescent="0.15">
      <c r="A16" s="25" t="s">
        <v>56</v>
      </c>
      <c r="B16" s="27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8" customHeight="1" x14ac:dyDescent="0.15">
      <c r="A17" s="7" t="s">
        <v>2</v>
      </c>
      <c r="B17" s="26"/>
      <c r="C17" s="26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4.25" customHeight="1" x14ac:dyDescent="0.15">
      <c r="A18" s="8" t="s">
        <v>13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4.25" customHeight="1" x14ac:dyDescent="0.15">
      <c r="A19" s="8" t="s">
        <v>2</v>
      </c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4.25" customHeight="1" x14ac:dyDescent="0.15">
      <c r="A20" s="8" t="s">
        <v>14</v>
      </c>
      <c r="B20" s="13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4.25" customHeight="1" x14ac:dyDescent="0.15">
      <c r="A21" s="11" t="s">
        <v>3</v>
      </c>
      <c r="B21" s="18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8" customHeight="1" x14ac:dyDescent="0.15">
      <c r="A22" s="7" t="s">
        <v>4</v>
      </c>
      <c r="B22" s="26"/>
      <c r="C22" s="26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4.25" customHeight="1" x14ac:dyDescent="0.15">
      <c r="A23" s="8" t="s">
        <v>5</v>
      </c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4.25" customHeight="1" x14ac:dyDescent="0.15">
      <c r="A24" s="8" t="s">
        <v>3</v>
      </c>
      <c r="B24" s="16"/>
      <c r="C24" s="16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4.25" customHeight="1" x14ac:dyDescent="0.15">
      <c r="A25" s="9" t="s">
        <v>6</v>
      </c>
      <c r="B25" s="34"/>
      <c r="C25" s="34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8" customHeight="1" x14ac:dyDescent="0.15">
      <c r="A26" s="7" t="s">
        <v>20</v>
      </c>
      <c r="B26" s="35"/>
      <c r="C26" s="35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8" customHeight="1" x14ac:dyDescent="0.15">
      <c r="A27" s="10" t="s">
        <v>72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8" customHeight="1" x14ac:dyDescent="0.15">
      <c r="A28" s="10" t="s">
        <v>67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</sheetData>
  <phoneticPr fontId="5" type="noConversion"/>
  <pageMargins left="0.5" right="0.5" top="1" bottom="0.5" header="0.5" footer="0.5"/>
  <pageSetup orientation="landscape" r:id="rId1"/>
  <headerFooter alignWithMargins="0">
    <oddHeader>&amp;L&amp;"Arial,Bold"5. Income Statement: Affordable For Sale Housing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5"/>
  <sheetViews>
    <sheetView view="pageLayout" zoomScaleNormal="100" workbookViewId="0">
      <selection activeCell="M1" sqref="M1:N1"/>
    </sheetView>
  </sheetViews>
  <sheetFormatPr baseColWidth="10" defaultColWidth="9.1640625" defaultRowHeight="13" x14ac:dyDescent="0.15"/>
  <cols>
    <col min="1" max="1" width="8.6640625" style="1" customWidth="1"/>
    <col min="2" max="2" width="13.6640625" style="1" customWidth="1"/>
    <col min="3" max="3" width="10.6640625" style="3" bestFit="1" customWidth="1"/>
    <col min="4" max="4" width="11.83203125" style="3" bestFit="1" customWidth="1"/>
    <col min="5" max="5" width="13.1640625" style="1" customWidth="1"/>
    <col min="6" max="6" width="12.33203125" style="1" customWidth="1"/>
    <col min="7" max="7" width="8.33203125" style="1" customWidth="1"/>
    <col min="8" max="8" width="12.83203125" style="1" customWidth="1"/>
    <col min="9" max="12" width="8.33203125" style="1" customWidth="1"/>
    <col min="13" max="13" width="8.6640625" style="1" customWidth="1"/>
    <col min="14" max="14" width="8.33203125" style="1" customWidth="1"/>
    <col min="15" max="15" width="11.1640625" style="1" bestFit="1" customWidth="1"/>
    <col min="16" max="16384" width="9.1640625" style="1"/>
  </cols>
  <sheetData>
    <row r="1" spans="1:15" ht="14.25" customHeight="1" x14ac:dyDescent="0.15">
      <c r="A1" s="288"/>
      <c r="B1" s="288"/>
      <c r="C1" s="289"/>
      <c r="D1" s="289"/>
      <c r="E1" s="288"/>
      <c r="F1" s="288"/>
      <c r="G1" s="288"/>
      <c r="H1" s="207"/>
      <c r="I1" s="207"/>
      <c r="J1" s="207"/>
      <c r="K1" s="213"/>
      <c r="L1" s="213"/>
      <c r="M1" s="214" t="s">
        <v>46</v>
      </c>
      <c r="N1" s="215">
        <v>199991</v>
      </c>
    </row>
    <row r="2" spans="1:15" ht="14.25" customHeight="1" x14ac:dyDescent="0.15">
      <c r="A2" s="288"/>
      <c r="B2" s="288"/>
      <c r="C2" s="289"/>
      <c r="D2" s="289"/>
      <c r="E2" s="288"/>
      <c r="F2" s="288"/>
      <c r="G2" s="288"/>
      <c r="H2" s="207"/>
      <c r="I2" s="207"/>
      <c r="J2" s="207"/>
      <c r="K2" s="213"/>
      <c r="L2" s="213"/>
      <c r="M2" s="213"/>
      <c r="N2" s="213"/>
      <c r="O2" s="2"/>
    </row>
    <row r="3" spans="1:15" ht="14.25" customHeight="1" x14ac:dyDescent="0.15">
      <c r="A3" s="290"/>
      <c r="B3" s="290"/>
      <c r="C3" s="291"/>
      <c r="D3" s="291" t="s">
        <v>68</v>
      </c>
      <c r="E3" s="292" t="s">
        <v>35</v>
      </c>
      <c r="F3" s="292"/>
      <c r="G3" s="292"/>
      <c r="H3" s="208" t="s">
        <v>153</v>
      </c>
      <c r="I3" s="208"/>
      <c r="J3" s="208"/>
      <c r="K3" s="216" t="s">
        <v>154</v>
      </c>
      <c r="L3" s="216"/>
      <c r="M3" s="216"/>
      <c r="N3" s="216"/>
    </row>
    <row r="4" spans="1:15" ht="14.25" customHeight="1" x14ac:dyDescent="0.15">
      <c r="A4" s="293"/>
      <c r="B4" s="293"/>
      <c r="C4" s="294" t="s">
        <v>19</v>
      </c>
      <c r="D4" s="273" t="s">
        <v>88</v>
      </c>
      <c r="E4" s="274">
        <v>2021</v>
      </c>
      <c r="F4" s="295">
        <f>E4+1</f>
        <v>2022</v>
      </c>
      <c r="G4" s="295">
        <f t="shared" ref="G4:N4" si="0">F4+1</f>
        <v>2023</v>
      </c>
      <c r="H4" s="209">
        <f t="shared" si="0"/>
        <v>2024</v>
      </c>
      <c r="I4" s="209">
        <f t="shared" si="0"/>
        <v>2025</v>
      </c>
      <c r="J4" s="209">
        <f t="shared" si="0"/>
        <v>2026</v>
      </c>
      <c r="K4" s="217">
        <f t="shared" si="0"/>
        <v>2027</v>
      </c>
      <c r="L4" s="217">
        <f t="shared" si="0"/>
        <v>2028</v>
      </c>
      <c r="M4" s="217">
        <f t="shared" si="0"/>
        <v>2029</v>
      </c>
      <c r="N4" s="217">
        <f t="shared" si="0"/>
        <v>2030</v>
      </c>
      <c r="O4" s="12"/>
    </row>
    <row r="5" spans="1:15" ht="14.25" customHeight="1" x14ac:dyDescent="0.15">
      <c r="A5" s="296" t="s">
        <v>12</v>
      </c>
      <c r="B5" s="297"/>
      <c r="C5" s="298">
        <v>0.02</v>
      </c>
      <c r="D5" s="298"/>
      <c r="E5" s="299"/>
      <c r="F5" s="299"/>
      <c r="G5" s="299"/>
      <c r="H5" s="210"/>
      <c r="I5" s="210"/>
      <c r="J5" s="210"/>
      <c r="K5" s="218"/>
      <c r="L5" s="218"/>
      <c r="M5" s="218"/>
      <c r="N5" s="218"/>
      <c r="O5" s="12"/>
    </row>
    <row r="6" spans="1:15" ht="18" customHeight="1" x14ac:dyDescent="0.15">
      <c r="A6" s="300" t="s">
        <v>8</v>
      </c>
      <c r="B6" s="300"/>
      <c r="C6" s="301"/>
      <c r="D6" s="301"/>
      <c r="E6" s="302"/>
      <c r="F6" s="302"/>
      <c r="G6" s="302"/>
      <c r="H6" s="211"/>
      <c r="I6" s="211"/>
      <c r="J6" s="211"/>
      <c r="K6" s="219"/>
      <c r="L6" s="219"/>
      <c r="M6" s="219"/>
      <c r="N6" s="219"/>
      <c r="O6" s="12"/>
    </row>
    <row r="7" spans="1:15" ht="14.25" customHeight="1" x14ac:dyDescent="0.15">
      <c r="A7" s="705" t="s">
        <v>58</v>
      </c>
      <c r="B7" s="303" t="s">
        <v>49</v>
      </c>
      <c r="C7" s="289"/>
      <c r="D7" s="304">
        <f>'2.Market-rate Rental Housing'!C27</f>
        <v>-3222726.8156560999</v>
      </c>
      <c r="E7" s="305">
        <f>'2.Market-rate Rental Housing'!D27</f>
        <v>-3222726.8156560999</v>
      </c>
      <c r="F7" s="305">
        <f>'2.Market-rate Rental Housing'!E27</f>
        <v>-3222726.8156560999</v>
      </c>
      <c r="G7" s="305">
        <f>'2.Market-rate Rental Housing'!F27</f>
        <v>-2818940.0159104583</v>
      </c>
      <c r="H7" s="221">
        <f>'2.Market-rate Rental Housing'!G27</f>
        <v>-2818940.0159104583</v>
      </c>
      <c r="I7" s="221">
        <f>'2.Market-rate Rental Housing'!H27</f>
        <v>-2818940.0159104583</v>
      </c>
      <c r="J7" s="221">
        <f>'2.Market-rate Rental Housing'!I27</f>
        <v>-4013441.2927521826</v>
      </c>
      <c r="K7" s="222">
        <f>'2.Market-rate Rental Housing'!J27</f>
        <v>-4013441.2927521826</v>
      </c>
      <c r="L7" s="222">
        <f>'2.Market-rate Rental Housing'!K27</f>
        <v>-4013441.2927521826</v>
      </c>
      <c r="M7" s="222">
        <f>'2.Market-rate Rental Housing'!L27</f>
        <v>0</v>
      </c>
      <c r="N7" s="222">
        <f>'2.Market-rate Rental Housing'!M27</f>
        <v>0</v>
      </c>
      <c r="O7" s="268"/>
    </row>
    <row r="8" spans="1:15" ht="14.25" customHeight="1" x14ac:dyDescent="0.15">
      <c r="A8" s="706"/>
      <c r="B8" s="303" t="s">
        <v>50</v>
      </c>
      <c r="C8" s="306"/>
      <c r="D8" s="304"/>
      <c r="E8" s="305"/>
      <c r="F8" s="305"/>
      <c r="G8" s="305"/>
      <c r="H8" s="221"/>
      <c r="I8" s="221"/>
      <c r="J8" s="221"/>
      <c r="K8" s="222"/>
      <c r="L8" s="222"/>
      <c r="M8" s="222"/>
      <c r="N8" s="222"/>
      <c r="O8" s="268"/>
    </row>
    <row r="9" spans="1:15" ht="14.25" customHeight="1" x14ac:dyDescent="0.15">
      <c r="A9" s="705" t="s">
        <v>57</v>
      </c>
      <c r="B9" s="303" t="s">
        <v>49</v>
      </c>
      <c r="C9" s="306"/>
      <c r="D9" s="304">
        <f>'3. Affordable Rental Housing'!C27</f>
        <v>-569858.65626345854</v>
      </c>
      <c r="E9" s="305">
        <f>'3. Affordable Rental Housing'!D27</f>
        <v>-569858.65626345854</v>
      </c>
      <c r="F9" s="305">
        <f>'3. Affordable Rental Housing'!E27</f>
        <v>-569858.65626345854</v>
      </c>
      <c r="G9" s="305">
        <f>'3. Affordable Rental Housing'!F27</f>
        <v>-368792.21837125573</v>
      </c>
      <c r="H9" s="221">
        <f>'3. Affordable Rental Housing'!G27</f>
        <v>-368792.21837125573</v>
      </c>
      <c r="I9" s="221">
        <f>'3. Affordable Rental Housing'!H27</f>
        <v>-368792.21837125573</v>
      </c>
      <c r="J9" s="221">
        <f>'3. Affordable Rental Housing'!I27</f>
        <v>-356012.41939657601</v>
      </c>
      <c r="K9" s="222">
        <f>'3. Affordable Rental Housing'!J27</f>
        <v>-356012.41939657601</v>
      </c>
      <c r="L9" s="222">
        <f>'3. Affordable Rental Housing'!K27</f>
        <v>-356012.41939657601</v>
      </c>
      <c r="M9" s="222">
        <f>'3. Affordable Rental Housing'!L27</f>
        <v>0</v>
      </c>
      <c r="N9" s="222">
        <f>'3. Affordable Rental Housing'!M27</f>
        <v>0</v>
      </c>
      <c r="O9" s="268"/>
    </row>
    <row r="10" spans="1:15" ht="14.25" customHeight="1" x14ac:dyDescent="0.15">
      <c r="A10" s="706"/>
      <c r="B10" s="303" t="s">
        <v>50</v>
      </c>
      <c r="C10" s="306"/>
      <c r="D10" s="304"/>
      <c r="E10" s="305"/>
      <c r="F10" s="305"/>
      <c r="G10" s="305"/>
      <c r="H10" s="221"/>
      <c r="I10" s="221"/>
      <c r="J10" s="221"/>
      <c r="K10" s="222"/>
      <c r="L10" s="222"/>
      <c r="M10" s="222"/>
      <c r="N10" s="222"/>
      <c r="O10" s="268"/>
    </row>
    <row r="11" spans="1:15" ht="14.25" customHeight="1" x14ac:dyDescent="0.15">
      <c r="A11" s="707" t="s">
        <v>51</v>
      </c>
      <c r="B11" s="707"/>
      <c r="C11" s="306"/>
      <c r="D11" s="304">
        <f>'4. Office'!C24</f>
        <v>-4326177.5879793344</v>
      </c>
      <c r="E11" s="305">
        <f>'4. Office'!D24</f>
        <v>-4326177.5879793344</v>
      </c>
      <c r="F11" s="305">
        <f>'4. Office'!E24</f>
        <v>-4326177.5879793344</v>
      </c>
      <c r="G11" s="305">
        <f>'4. Office'!F24</f>
        <v>-2316750.9384805416</v>
      </c>
      <c r="H11" s="221">
        <f>'4. Office'!G24</f>
        <v>-2316750.9384805416</v>
      </c>
      <c r="I11" s="221">
        <f>'4. Office'!H24</f>
        <v>-2316750.9384805416</v>
      </c>
      <c r="J11" s="221">
        <f>'4. Office'!I24</f>
        <v>-2065281.8420337967</v>
      </c>
      <c r="K11" s="222">
        <f>'4. Office'!J24</f>
        <v>-2065281.8420337967</v>
      </c>
      <c r="L11" s="222">
        <f>'4. Office'!K24</f>
        <v>-2065281.8420337967</v>
      </c>
      <c r="M11" s="222">
        <f>'4. Office'!L24</f>
        <v>0</v>
      </c>
      <c r="N11" s="222">
        <f>'4. Office'!M24</f>
        <v>0</v>
      </c>
      <c r="O11" s="268"/>
    </row>
    <row r="12" spans="1:15" ht="14.25" customHeight="1" x14ac:dyDescent="0.15">
      <c r="A12" s="707" t="s">
        <v>52</v>
      </c>
      <c r="B12" s="707"/>
      <c r="C12" s="306"/>
      <c r="D12" s="304">
        <f>'5. Retail'!C24</f>
        <v>-614977.92242347333</v>
      </c>
      <c r="E12" s="305">
        <f>'5. Retail'!D24</f>
        <v>-614977.92242347333</v>
      </c>
      <c r="F12" s="305">
        <f>'5. Retail'!E24</f>
        <v>-614977.92242347333</v>
      </c>
      <c r="G12" s="305">
        <f>'5. Retail'!F24</f>
        <v>-1217708.7265490401</v>
      </c>
      <c r="H12" s="221">
        <f>'5. Retail'!G24</f>
        <v>-1217708.7265490401</v>
      </c>
      <c r="I12" s="221">
        <f>'5. Retail'!H24</f>
        <v>-1217708.7265490401</v>
      </c>
      <c r="J12" s="221">
        <f>'5. Retail'!I24</f>
        <v>-805288.26079899725</v>
      </c>
      <c r="K12" s="222">
        <f>'5. Retail'!J24</f>
        <v>-805288.26079899725</v>
      </c>
      <c r="L12" s="222">
        <f>'5. Retail'!K24</f>
        <v>-805288.26079899725</v>
      </c>
      <c r="M12" s="222">
        <f>'5. Retail'!L24</f>
        <v>0</v>
      </c>
      <c r="N12" s="222">
        <f>'5. Retail'!M24</f>
        <v>0</v>
      </c>
      <c r="O12" s="268"/>
    </row>
    <row r="13" spans="1:15" ht="14.25" customHeight="1" x14ac:dyDescent="0.15">
      <c r="A13" s="707" t="s">
        <v>53</v>
      </c>
      <c r="B13" s="707"/>
      <c r="C13" s="306"/>
      <c r="D13" s="304">
        <f>'6. Hotel'!C25</f>
        <v>-1389799.3814210128</v>
      </c>
      <c r="E13" s="305">
        <f>'6. Hotel'!D25</f>
        <v>-1389799.3814210128</v>
      </c>
      <c r="F13" s="305">
        <f>'6. Hotel'!E25</f>
        <v>-1389799.3814210128</v>
      </c>
      <c r="G13" s="305">
        <f>'6. Hotel'!F25</f>
        <v>-178656.76596325074</v>
      </c>
      <c r="H13" s="221">
        <f>'6. Hotel'!G25</f>
        <v>-178656.76596325074</v>
      </c>
      <c r="I13" s="221">
        <f>'6. Hotel'!H25</f>
        <v>-178656.76596325074</v>
      </c>
      <c r="J13" s="221">
        <f>'6. Hotel'!I25</f>
        <v>0</v>
      </c>
      <c r="K13" s="222">
        <f>'6. Hotel'!J25</f>
        <v>0</v>
      </c>
      <c r="L13" s="222">
        <f>'6. Hotel'!K25</f>
        <v>0</v>
      </c>
      <c r="M13" s="222">
        <f>'6. Hotel'!L25</f>
        <v>0</v>
      </c>
      <c r="N13" s="222">
        <f>'6. Hotel'!M25</f>
        <v>0</v>
      </c>
      <c r="O13" s="268"/>
    </row>
    <row r="14" spans="1:15" ht="14.25" customHeight="1" x14ac:dyDescent="0.15">
      <c r="A14" s="707" t="s">
        <v>54</v>
      </c>
      <c r="B14" s="707"/>
      <c r="C14" s="306"/>
      <c r="D14" s="304"/>
      <c r="E14" s="305"/>
      <c r="F14" s="305"/>
      <c r="G14" s="305"/>
      <c r="H14" s="221"/>
      <c r="I14" s="221"/>
      <c r="J14" s="221"/>
      <c r="K14" s="222"/>
      <c r="L14" s="222"/>
      <c r="M14" s="222"/>
      <c r="N14" s="222"/>
      <c r="O14" s="268"/>
    </row>
    <row r="15" spans="1:15" ht="14.25" customHeight="1" x14ac:dyDescent="0.15">
      <c r="A15" s="707" t="s">
        <v>55</v>
      </c>
      <c r="B15" s="707"/>
      <c r="C15" s="306"/>
      <c r="D15" s="304">
        <f>'7. Surface Parking'!C22</f>
        <v>-39594.020000000004</v>
      </c>
      <c r="E15" s="305">
        <f>'7. Surface Parking'!D22</f>
        <v>-39594.020000000004</v>
      </c>
      <c r="F15" s="305">
        <f>'7. Surface Parking'!E22</f>
        <v>-39594.020000000004</v>
      </c>
      <c r="G15" s="305">
        <f>'7. Surface Parking'!F22</f>
        <v>-26844.912905688005</v>
      </c>
      <c r="H15" s="221">
        <f>'7. Surface Parking'!G22</f>
        <v>-26844.912905688005</v>
      </c>
      <c r="I15" s="221">
        <f>'7. Surface Parking'!H22</f>
        <v>-26844.912905688005</v>
      </c>
      <c r="J15" s="221">
        <f>'7. Surface Parking'!I22</f>
        <v>-26411.327516276218</v>
      </c>
      <c r="K15" s="222">
        <f>'7. Surface Parking'!J22</f>
        <v>-26411.327516276218</v>
      </c>
      <c r="L15" s="222">
        <f>'7. Surface Parking'!K22</f>
        <v>-26411.327516276218</v>
      </c>
      <c r="M15" s="222">
        <f>'7. Surface Parking'!L22</f>
        <v>0</v>
      </c>
      <c r="N15" s="222">
        <f>'7. Surface Parking'!M22</f>
        <v>0</v>
      </c>
      <c r="O15" s="268"/>
    </row>
    <row r="16" spans="1:15" ht="14.25" customHeight="1" x14ac:dyDescent="0.15">
      <c r="A16" s="709" t="s">
        <v>30</v>
      </c>
      <c r="B16" s="709"/>
      <c r="C16" s="307"/>
      <c r="D16" s="308">
        <f>SUM(D7:D15)</f>
        <v>-10163134.383743377</v>
      </c>
      <c r="E16" s="309">
        <f t="shared" ref="E16:N16" si="1">SUM(E7:E15)</f>
        <v>-10163134.383743377</v>
      </c>
      <c r="F16" s="309">
        <f t="shared" si="1"/>
        <v>-10163134.383743377</v>
      </c>
      <c r="G16" s="309">
        <f t="shared" si="1"/>
        <v>-6927693.5781802358</v>
      </c>
      <c r="H16" s="269">
        <f t="shared" si="1"/>
        <v>-6927693.5781802358</v>
      </c>
      <c r="I16" s="269">
        <f t="shared" si="1"/>
        <v>-6927693.5781802358</v>
      </c>
      <c r="J16" s="269">
        <f t="shared" si="1"/>
        <v>-7266435.1424978292</v>
      </c>
      <c r="K16" s="270">
        <f t="shared" si="1"/>
        <v>-7266435.1424978292</v>
      </c>
      <c r="L16" s="270">
        <f t="shared" si="1"/>
        <v>-7266435.1424978292</v>
      </c>
      <c r="M16" s="270">
        <f t="shared" si="1"/>
        <v>0</v>
      </c>
      <c r="N16" s="270">
        <f t="shared" si="1"/>
        <v>0</v>
      </c>
      <c r="O16" s="268"/>
    </row>
    <row r="17" spans="1:15" ht="18" customHeight="1" x14ac:dyDescent="0.15">
      <c r="A17" s="300" t="s">
        <v>9</v>
      </c>
      <c r="B17" s="300"/>
      <c r="C17" s="310"/>
      <c r="D17" s="311">
        <f>SUM(D16:N16)</f>
        <v>-73071789.31326434</v>
      </c>
      <c r="E17" s="302"/>
      <c r="F17" s="302"/>
      <c r="G17" s="302"/>
      <c r="H17" s="211"/>
      <c r="I17" s="211"/>
      <c r="J17" s="211"/>
      <c r="K17" s="219"/>
      <c r="L17" s="219"/>
      <c r="M17" s="219"/>
      <c r="N17" s="219"/>
      <c r="O17" s="268"/>
    </row>
    <row r="18" spans="1:15" ht="14.25" customHeight="1" x14ac:dyDescent="0.15">
      <c r="A18" s="707" t="s">
        <v>286</v>
      </c>
      <c r="B18" s="707"/>
      <c r="C18" s="303"/>
      <c r="D18" s="304"/>
      <c r="E18" s="305"/>
      <c r="F18" s="305"/>
      <c r="G18" s="305"/>
      <c r="H18" s="221">
        <v>-17500000</v>
      </c>
      <c r="I18" s="221"/>
      <c r="J18" s="221"/>
      <c r="K18" s="222"/>
      <c r="L18" s="222"/>
      <c r="M18" s="222"/>
      <c r="N18" s="222"/>
      <c r="O18" s="268"/>
    </row>
    <row r="19" spans="1:15" ht="14.25" customHeight="1" x14ac:dyDescent="0.15">
      <c r="A19" s="303"/>
      <c r="B19" s="303" t="s">
        <v>83</v>
      </c>
      <c r="C19" s="303"/>
      <c r="D19" s="304"/>
      <c r="E19" s="305">
        <f>-Assumptions!$F$53*SUM(Assumptions!K10,Assumptions!K13,Assumptions!K14)</f>
        <v>0</v>
      </c>
      <c r="F19" s="305"/>
      <c r="G19" s="305">
        <f>-Assumptions!F53*SUM(Assumptions!K22,Assumptions!K24,Assumptions!K19:K21)</f>
        <v>0</v>
      </c>
      <c r="H19" s="221"/>
      <c r="I19" s="221"/>
      <c r="J19" s="221">
        <f>-Assumptions!$F$53*Assumptions!K25</f>
        <v>0</v>
      </c>
      <c r="K19" s="222"/>
      <c r="L19" s="222"/>
      <c r="M19" s="222"/>
      <c r="N19" s="222"/>
      <c r="O19" s="268"/>
    </row>
    <row r="20" spans="1:15" ht="14.25" customHeight="1" x14ac:dyDescent="0.15">
      <c r="A20" s="707" t="s">
        <v>287</v>
      </c>
      <c r="B20" s="707"/>
      <c r="C20" s="303"/>
      <c r="D20" s="304">
        <f>-1200000/8</f>
        <v>-150000</v>
      </c>
      <c r="E20" s="305">
        <f t="shared" ref="E20:L20" si="2">-1200000/8</f>
        <v>-150000</v>
      </c>
      <c r="F20" s="305">
        <f t="shared" si="2"/>
        <v>-150000</v>
      </c>
      <c r="G20" s="305">
        <f t="shared" si="2"/>
        <v>-150000</v>
      </c>
      <c r="H20" s="221">
        <f t="shared" si="2"/>
        <v>-150000</v>
      </c>
      <c r="I20" s="221">
        <f t="shared" si="2"/>
        <v>-150000</v>
      </c>
      <c r="J20" s="221">
        <f t="shared" si="2"/>
        <v>-150000</v>
      </c>
      <c r="K20" s="222">
        <f t="shared" si="2"/>
        <v>-150000</v>
      </c>
      <c r="L20" s="222">
        <f t="shared" si="2"/>
        <v>-150000</v>
      </c>
      <c r="M20" s="222"/>
      <c r="N20" s="222"/>
      <c r="O20" s="268"/>
    </row>
    <row r="21" spans="1:15" ht="14.25" customHeight="1" x14ac:dyDescent="0.15">
      <c r="A21" s="312"/>
      <c r="B21" s="312" t="s">
        <v>288</v>
      </c>
      <c r="C21" s="312"/>
      <c r="D21" s="304">
        <v>-10000</v>
      </c>
      <c r="E21" s="305">
        <f>-100000</f>
        <v>-100000</v>
      </c>
      <c r="F21" s="305">
        <f t="shared" ref="F21:N21" si="3">-100000</f>
        <v>-100000</v>
      </c>
      <c r="G21" s="305">
        <f t="shared" si="3"/>
        <v>-100000</v>
      </c>
      <c r="H21" s="221">
        <f t="shared" si="3"/>
        <v>-100000</v>
      </c>
      <c r="I21" s="221">
        <f t="shared" si="3"/>
        <v>-100000</v>
      </c>
      <c r="J21" s="221">
        <f t="shared" si="3"/>
        <v>-100000</v>
      </c>
      <c r="K21" s="222">
        <f t="shared" si="3"/>
        <v>-100000</v>
      </c>
      <c r="L21" s="222">
        <f t="shared" si="3"/>
        <v>-100000</v>
      </c>
      <c r="M21" s="222">
        <f t="shared" si="3"/>
        <v>-100000</v>
      </c>
      <c r="N21" s="222">
        <f t="shared" si="3"/>
        <v>-100000</v>
      </c>
      <c r="O21" s="268"/>
    </row>
    <row r="22" spans="1:15" ht="14.25" customHeight="1" x14ac:dyDescent="0.15">
      <c r="A22" s="709" t="s">
        <v>30</v>
      </c>
      <c r="B22" s="709"/>
      <c r="C22" s="313"/>
      <c r="D22" s="314">
        <f>SUM(D18:D21)</f>
        <v>-160000</v>
      </c>
      <c r="E22" s="315">
        <f t="shared" ref="E22:N22" si="4">SUM(E18:E21)</f>
        <v>-250000</v>
      </c>
      <c r="F22" s="315">
        <f t="shared" si="4"/>
        <v>-250000</v>
      </c>
      <c r="G22" s="315">
        <f t="shared" si="4"/>
        <v>-250000</v>
      </c>
      <c r="H22" s="264">
        <f t="shared" si="4"/>
        <v>-17750000</v>
      </c>
      <c r="I22" s="264">
        <f t="shared" si="4"/>
        <v>-250000</v>
      </c>
      <c r="J22" s="264">
        <f t="shared" si="4"/>
        <v>-250000</v>
      </c>
      <c r="K22" s="265">
        <f t="shared" si="4"/>
        <v>-250000</v>
      </c>
      <c r="L22" s="265">
        <f t="shared" si="4"/>
        <v>-250000</v>
      </c>
      <c r="M22" s="265">
        <f t="shared" si="4"/>
        <v>-100000</v>
      </c>
      <c r="N22" s="265">
        <f t="shared" si="4"/>
        <v>-100000</v>
      </c>
      <c r="O22" s="268"/>
    </row>
    <row r="23" spans="1:15" ht="18" customHeight="1" x14ac:dyDescent="0.15">
      <c r="A23" s="300" t="s">
        <v>10</v>
      </c>
      <c r="B23" s="300"/>
      <c r="C23" s="301"/>
      <c r="D23" s="311"/>
      <c r="E23" s="316"/>
      <c r="F23" s="316"/>
      <c r="G23" s="316"/>
      <c r="H23" s="262"/>
      <c r="I23" s="262"/>
      <c r="J23" s="262"/>
      <c r="K23" s="263"/>
      <c r="L23" s="263"/>
      <c r="M23" s="263"/>
      <c r="N23" s="263"/>
      <c r="O23" s="268"/>
    </row>
    <row r="24" spans="1:15" ht="14.25" customHeight="1" x14ac:dyDescent="0.15">
      <c r="A24" s="708" t="s">
        <v>33</v>
      </c>
      <c r="B24" s="708"/>
      <c r="C24" s="303"/>
      <c r="D24" s="314">
        <f>D16+D22</f>
        <v>-10323134.383743377</v>
      </c>
      <c r="E24" s="315">
        <f t="shared" ref="E24:N24" si="5">E16+E22</f>
        <v>-10413134.383743377</v>
      </c>
      <c r="F24" s="315">
        <f t="shared" si="5"/>
        <v>-10413134.383743377</v>
      </c>
      <c r="G24" s="315">
        <f t="shared" si="5"/>
        <v>-7177693.5781802358</v>
      </c>
      <c r="H24" s="264">
        <f t="shared" si="5"/>
        <v>-24677693.578180235</v>
      </c>
      <c r="I24" s="264">
        <f t="shared" si="5"/>
        <v>-7177693.5781802358</v>
      </c>
      <c r="J24" s="264">
        <f t="shared" si="5"/>
        <v>-7516435.1424978292</v>
      </c>
      <c r="K24" s="265">
        <f t="shared" si="5"/>
        <v>-7516435.1424978292</v>
      </c>
      <c r="L24" s="265">
        <f t="shared" si="5"/>
        <v>-7516435.1424978292</v>
      </c>
      <c r="M24" s="265">
        <f t="shared" si="5"/>
        <v>-100000</v>
      </c>
      <c r="N24" s="265">
        <f t="shared" si="5"/>
        <v>-100000</v>
      </c>
      <c r="O24" s="268"/>
    </row>
    <row r="25" spans="1:15" ht="18" customHeight="1" x14ac:dyDescent="0.15">
      <c r="A25" s="317" t="s">
        <v>34</v>
      </c>
      <c r="B25" s="317"/>
      <c r="C25" s="318">
        <f>D24+NPV(Assumptions!$F$40,E24:N24)</f>
        <v>-66787591.504062146</v>
      </c>
      <c r="D25" s="314"/>
      <c r="E25" s="319"/>
      <c r="F25" s="319"/>
      <c r="G25" s="319"/>
      <c r="H25" s="212"/>
      <c r="I25" s="212"/>
      <c r="J25" s="212"/>
      <c r="K25" s="220"/>
      <c r="L25" s="220"/>
      <c r="M25" s="220"/>
      <c r="N25" s="220"/>
      <c r="O25" s="12"/>
    </row>
    <row r="26" spans="1:15" x14ac:dyDescent="0.15">
      <c r="C26" s="6"/>
      <c r="O26" s="12"/>
    </row>
    <row r="27" spans="1:15" x14ac:dyDescent="0.15">
      <c r="A27" s="12"/>
      <c r="C27" s="6"/>
      <c r="O27" s="12"/>
    </row>
    <row r="28" spans="1:15" x14ac:dyDescent="0.15">
      <c r="O28" s="12"/>
    </row>
    <row r="29" spans="1:15" x14ac:dyDescent="0.15">
      <c r="O29" s="12"/>
    </row>
    <row r="30" spans="1:15" x14ac:dyDescent="0.15">
      <c r="O30" s="12"/>
    </row>
    <row r="31" spans="1:15" x14ac:dyDescent="0.15">
      <c r="O31" s="12"/>
    </row>
    <row r="32" spans="1:15" x14ac:dyDescent="0.15">
      <c r="O32" s="12"/>
    </row>
    <row r="33" spans="15:15" x14ac:dyDescent="0.15">
      <c r="O33" s="12"/>
    </row>
    <row r="34" spans="15:15" x14ac:dyDescent="0.15">
      <c r="O34" s="12"/>
    </row>
    <row r="35" spans="15:15" x14ac:dyDescent="0.15">
      <c r="O35" s="12"/>
    </row>
    <row r="36" spans="15:15" x14ac:dyDescent="0.15">
      <c r="O36" s="12"/>
    </row>
    <row r="37" spans="15:15" x14ac:dyDescent="0.15">
      <c r="O37" s="12"/>
    </row>
    <row r="38" spans="15:15" x14ac:dyDescent="0.15">
      <c r="O38" s="12"/>
    </row>
    <row r="39" spans="15:15" x14ac:dyDescent="0.15">
      <c r="O39" s="12"/>
    </row>
    <row r="40" spans="15:15" x14ac:dyDescent="0.15">
      <c r="O40" s="12"/>
    </row>
    <row r="41" spans="15:15" x14ac:dyDescent="0.15">
      <c r="O41" s="12"/>
    </row>
    <row r="42" spans="15:15" x14ac:dyDescent="0.15">
      <c r="O42" s="12"/>
    </row>
    <row r="43" spans="15:15" x14ac:dyDescent="0.15">
      <c r="O43" s="12"/>
    </row>
    <row r="44" spans="15:15" x14ac:dyDescent="0.15">
      <c r="O44" s="12"/>
    </row>
    <row r="45" spans="15:15" x14ac:dyDescent="0.15">
      <c r="O45" s="12"/>
    </row>
  </sheetData>
  <mergeCells count="12">
    <mergeCell ref="A7:A8"/>
    <mergeCell ref="A9:A10"/>
    <mergeCell ref="A11:B11"/>
    <mergeCell ref="A12:B12"/>
    <mergeCell ref="A24:B24"/>
    <mergeCell ref="A16:B16"/>
    <mergeCell ref="A18:B18"/>
    <mergeCell ref="A20:B20"/>
    <mergeCell ref="A22:B22"/>
    <mergeCell ref="A13:B13"/>
    <mergeCell ref="A14:B14"/>
    <mergeCell ref="A15:B15"/>
  </mergeCells>
  <phoneticPr fontId="5" type="noConversion"/>
  <pageMargins left="0.5" right="0.5" top="1" bottom="0.5" header="0.5" footer="0.5"/>
  <pageSetup orientation="landscape" r:id="rId1"/>
  <headerFooter alignWithMargins="0">
    <oddHeader>&amp;L&amp;"Arial,Bold"1. Infrastructure Costs by Year, Allocated by Use Types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7"/>
  <sheetViews>
    <sheetView zoomScale="90" zoomScaleNormal="100" workbookViewId="0">
      <selection activeCell="J53" sqref="J53"/>
    </sheetView>
  </sheetViews>
  <sheetFormatPr baseColWidth="10" defaultColWidth="9.1640625" defaultRowHeight="13" x14ac:dyDescent="0.15"/>
  <cols>
    <col min="1" max="1" width="23.33203125" style="1" customWidth="1"/>
    <col min="2" max="2" width="12.33203125" style="3" bestFit="1" customWidth="1"/>
    <col min="3" max="3" width="11.83203125" style="3" bestFit="1" customWidth="1"/>
    <col min="4" max="5" width="9.5" style="1" bestFit="1" customWidth="1"/>
    <col min="6" max="8" width="10.6640625" style="1" bestFit="1" customWidth="1"/>
    <col min="9" max="9" width="11.5" style="1" bestFit="1" customWidth="1"/>
    <col min="10" max="11" width="10.6640625" style="1" bestFit="1" customWidth="1"/>
    <col min="12" max="13" width="11.5" style="1" bestFit="1" customWidth="1"/>
    <col min="14" max="16" width="9.1640625" style="1"/>
    <col min="17" max="17" width="9.5" style="1" bestFit="1" customWidth="1"/>
    <col min="18" max="16384" width="9.1640625" style="1"/>
  </cols>
  <sheetData>
    <row r="1" spans="1:13" ht="14.25" customHeight="1" thickBot="1" x14ac:dyDescent="0.2">
      <c r="A1" s="350" t="s">
        <v>175</v>
      </c>
      <c r="B1" s="351"/>
      <c r="C1" s="352" t="s">
        <v>35</v>
      </c>
      <c r="D1" s="352"/>
      <c r="E1" s="70" t="s">
        <v>153</v>
      </c>
      <c r="F1" s="70"/>
      <c r="G1" s="71" t="s">
        <v>154</v>
      </c>
      <c r="H1" s="71"/>
      <c r="I1" s="78" t="s">
        <v>179</v>
      </c>
      <c r="J1" s="79"/>
      <c r="L1" s="214" t="s">
        <v>46</v>
      </c>
      <c r="M1" s="215">
        <v>199991</v>
      </c>
    </row>
    <row r="2" spans="1:13" ht="14.25" customHeight="1" x14ac:dyDescent="0.15">
      <c r="A2" s="353" t="s">
        <v>176</v>
      </c>
      <c r="B2" s="354" t="s">
        <v>177</v>
      </c>
      <c r="C2" s="354" t="s">
        <v>110</v>
      </c>
      <c r="D2" s="354" t="s">
        <v>112</v>
      </c>
      <c r="E2" s="72" t="s">
        <v>110</v>
      </c>
      <c r="F2" s="72" t="s">
        <v>112</v>
      </c>
      <c r="G2" s="73" t="s">
        <v>110</v>
      </c>
      <c r="H2" s="73" t="s">
        <v>112</v>
      </c>
      <c r="I2" s="80" t="s">
        <v>110</v>
      </c>
      <c r="J2" s="81" t="s">
        <v>112</v>
      </c>
      <c r="K2" s="288"/>
      <c r="L2" s="363"/>
      <c r="M2" s="364"/>
    </row>
    <row r="3" spans="1:13" ht="14.25" customHeight="1" x14ac:dyDescent="0.15">
      <c r="A3" s="355" t="s">
        <v>178</v>
      </c>
      <c r="B3" s="356">
        <f>Assumptions!C7</f>
        <v>600</v>
      </c>
      <c r="C3" s="356">
        <f>Phasing!C7</f>
        <v>116869.4</v>
      </c>
      <c r="D3" s="356">
        <f>Phasing!D7</f>
        <v>194.78233333333336</v>
      </c>
      <c r="E3" s="74">
        <f>Phasing!E7</f>
        <v>94504.2</v>
      </c>
      <c r="F3" s="74">
        <f>Phasing!F7</f>
        <v>157.50700000000001</v>
      </c>
      <c r="G3" s="75">
        <f>Phasing!G7</f>
        <v>107621.6</v>
      </c>
      <c r="H3" s="75">
        <f>Phasing!H7</f>
        <v>117.96966666666667</v>
      </c>
      <c r="I3" s="82">
        <f>C3+E3+G3</f>
        <v>318995.19999999995</v>
      </c>
      <c r="J3" s="82">
        <f>D3+F3+H3</f>
        <v>470.25900000000007</v>
      </c>
      <c r="K3" s="288"/>
      <c r="L3" s="363"/>
      <c r="M3" s="364"/>
    </row>
    <row r="4" spans="1:13" ht="14.25" customHeight="1" x14ac:dyDescent="0.15">
      <c r="A4" s="355" t="s">
        <v>159</v>
      </c>
      <c r="B4" s="356">
        <f>Assumptions!C11</f>
        <v>800</v>
      </c>
      <c r="C4" s="356">
        <f>Phasing!C8</f>
        <v>176477.1</v>
      </c>
      <c r="D4" s="356">
        <f>Phasing!D8</f>
        <v>220.59637499999999</v>
      </c>
      <c r="E4" s="74">
        <f>Phasing!E8</f>
        <v>167629.79999999999</v>
      </c>
      <c r="F4" s="74">
        <f>Phasing!F8</f>
        <v>209.53725</v>
      </c>
      <c r="G4" s="75">
        <f>Phasing!G8</f>
        <v>269054</v>
      </c>
      <c r="H4" s="75">
        <f>Phasing!H8</f>
        <v>226.85775000000001</v>
      </c>
      <c r="I4" s="82">
        <f t="shared" ref="I4:I5" si="0">C4+E4+G4</f>
        <v>613160.9</v>
      </c>
      <c r="J4" s="82">
        <f t="shared" ref="J4:J5" si="1">D4+F4+H4</f>
        <v>656.99137500000006</v>
      </c>
      <c r="K4" s="288"/>
      <c r="L4" s="363"/>
      <c r="M4" s="364"/>
    </row>
    <row r="5" spans="1:13" ht="14.25" customHeight="1" thickBot="1" x14ac:dyDescent="0.2">
      <c r="A5" s="355" t="s">
        <v>160</v>
      </c>
      <c r="B5" s="356">
        <f>Assumptions!C15</f>
        <v>1150</v>
      </c>
      <c r="C5" s="356">
        <f>Phasing!C9</f>
        <v>94868.659788838064</v>
      </c>
      <c r="D5" s="356">
        <f>Phasing!D9</f>
        <v>82.494486772902661</v>
      </c>
      <c r="E5" s="74">
        <f>Phasing!E9</f>
        <v>57854.460635313575</v>
      </c>
      <c r="F5" s="74">
        <f>Phasing!F9</f>
        <v>50.308226639403117</v>
      </c>
      <c r="G5" s="75">
        <f>Phasing!G9</f>
        <v>52628.347492515037</v>
      </c>
      <c r="H5" s="75">
        <f>Phasing!H9</f>
        <v>28.8137722446683</v>
      </c>
      <c r="I5" s="82">
        <f t="shared" si="0"/>
        <v>205351.4679166667</v>
      </c>
      <c r="J5" s="82">
        <f t="shared" si="1"/>
        <v>161.61648565697408</v>
      </c>
      <c r="K5" s="288"/>
      <c r="L5" s="363"/>
      <c r="M5" s="364"/>
    </row>
    <row r="6" spans="1:13" ht="14.25" customHeight="1" thickBot="1" x14ac:dyDescent="0.2">
      <c r="A6" s="357" t="s">
        <v>179</v>
      </c>
      <c r="B6" s="358"/>
      <c r="C6" s="359">
        <f>SUM(C3:C5)</f>
        <v>388215.15978883806</v>
      </c>
      <c r="D6" s="359">
        <f t="shared" ref="D6:G6" si="2">SUM(D3:D5)</f>
        <v>497.87319510623604</v>
      </c>
      <c r="E6" s="76">
        <f t="shared" si="2"/>
        <v>319988.46063531359</v>
      </c>
      <c r="F6" s="76">
        <f t="shared" si="2"/>
        <v>417.35247663940316</v>
      </c>
      <c r="G6" s="77">
        <f t="shared" si="2"/>
        <v>429303.94749251503</v>
      </c>
      <c r="H6" s="77">
        <f>SUM(H3:H5)</f>
        <v>373.64118891133501</v>
      </c>
      <c r="I6" s="83">
        <f t="shared" ref="I6:J6" si="3">SUM(I3:I5)</f>
        <v>1137507.5679166666</v>
      </c>
      <c r="J6" s="84">
        <f t="shared" si="3"/>
        <v>1288.866860656974</v>
      </c>
      <c r="K6" s="288"/>
      <c r="L6" s="363"/>
      <c r="M6" s="364"/>
    </row>
    <row r="7" spans="1:13" ht="14.25" customHeight="1" x14ac:dyDescent="0.15">
      <c r="A7" s="288"/>
      <c r="B7" s="289"/>
      <c r="C7" s="289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13" ht="14.25" customHeight="1" x14ac:dyDescent="0.15">
      <c r="A8" s="326"/>
      <c r="B8" s="327"/>
      <c r="C8" s="327" t="s">
        <v>68</v>
      </c>
      <c r="D8" s="328" t="s">
        <v>35</v>
      </c>
      <c r="E8" s="327"/>
      <c r="F8" s="327"/>
      <c r="G8" s="88" t="s">
        <v>153</v>
      </c>
      <c r="H8" s="88"/>
      <c r="I8" s="88"/>
      <c r="J8" s="89" t="s">
        <v>154</v>
      </c>
      <c r="K8" s="89"/>
      <c r="L8" s="89"/>
      <c r="M8" s="89"/>
    </row>
    <row r="9" spans="1:13" ht="14.25" customHeight="1" x14ac:dyDescent="0.15">
      <c r="A9" s="326"/>
      <c r="B9" s="328" t="s">
        <v>19</v>
      </c>
      <c r="C9" s="328" t="s">
        <v>88</v>
      </c>
      <c r="D9" s="328">
        <v>2021</v>
      </c>
      <c r="E9" s="328">
        <f>D9+1</f>
        <v>2022</v>
      </c>
      <c r="F9" s="328">
        <f t="shared" ref="F9:M9" si="4">E9+1</f>
        <v>2023</v>
      </c>
      <c r="G9" s="88">
        <f t="shared" si="4"/>
        <v>2024</v>
      </c>
      <c r="H9" s="88">
        <f t="shared" si="4"/>
        <v>2025</v>
      </c>
      <c r="I9" s="88">
        <f t="shared" si="4"/>
        <v>2026</v>
      </c>
      <c r="J9" s="89">
        <f t="shared" si="4"/>
        <v>2027</v>
      </c>
      <c r="K9" s="89">
        <f t="shared" si="4"/>
        <v>2028</v>
      </c>
      <c r="L9" s="89">
        <f t="shared" si="4"/>
        <v>2029</v>
      </c>
      <c r="M9" s="89">
        <f t="shared" si="4"/>
        <v>2030</v>
      </c>
    </row>
    <row r="10" spans="1:13" ht="18" customHeight="1" x14ac:dyDescent="0.15">
      <c r="A10" s="329" t="s">
        <v>11</v>
      </c>
      <c r="B10" s="327"/>
      <c r="C10" s="327"/>
      <c r="D10" s="327"/>
      <c r="E10" s="327"/>
      <c r="F10" s="327"/>
      <c r="G10" s="88"/>
      <c r="H10" s="88"/>
      <c r="I10" s="88"/>
      <c r="J10" s="89"/>
      <c r="K10" s="89"/>
      <c r="L10" s="89"/>
      <c r="M10" s="89"/>
    </row>
    <row r="11" spans="1:13" x14ac:dyDescent="0.15">
      <c r="A11" s="330" t="s">
        <v>12</v>
      </c>
      <c r="B11" s="331">
        <v>0.02</v>
      </c>
      <c r="C11" s="331"/>
      <c r="D11" s="332"/>
      <c r="E11" s="332"/>
      <c r="F11" s="332"/>
      <c r="G11" s="88"/>
      <c r="H11" s="88"/>
      <c r="I11" s="88"/>
      <c r="J11" s="89"/>
      <c r="K11" s="89"/>
      <c r="L11" s="89"/>
      <c r="M11" s="89"/>
    </row>
    <row r="12" spans="1:13" x14ac:dyDescent="0.15">
      <c r="A12" s="330" t="s">
        <v>186</v>
      </c>
      <c r="B12" s="331"/>
      <c r="C12" s="331"/>
      <c r="D12" s="333">
        <f>D14*Assumptions!$V$15</f>
        <v>217555.81563835058</v>
      </c>
      <c r="E12" s="333">
        <f>E14*Assumptions!$V$15</f>
        <v>217555.81563835058</v>
      </c>
      <c r="F12" s="333">
        <f>F14*Assumptions!$V$15</f>
        <v>0</v>
      </c>
      <c r="G12" s="90">
        <f>G14*Assumptions!$V$15</f>
        <v>179321.56638664438</v>
      </c>
      <c r="H12" s="90">
        <f>H14*Assumptions!$V$15</f>
        <v>179321.56638664438</v>
      </c>
      <c r="I12" s="90">
        <f>I14*Assumptions!$V$15</f>
        <v>0</v>
      </c>
      <c r="J12" s="87">
        <f>J14*Assumptions!$V$15</f>
        <v>240581.97651091084</v>
      </c>
      <c r="K12" s="87">
        <f>K14*Assumptions!$V$15</f>
        <v>240581.97651091084</v>
      </c>
      <c r="L12" s="89">
        <f>L14*Assumptions!$V$15</f>
        <v>0</v>
      </c>
      <c r="M12" s="89">
        <f>M14*Assumptions!$V$15</f>
        <v>0</v>
      </c>
    </row>
    <row r="13" spans="1:13" x14ac:dyDescent="0.15">
      <c r="A13" s="330" t="s">
        <v>190</v>
      </c>
      <c r="B13" s="331"/>
      <c r="C13" s="331"/>
      <c r="D13" s="333">
        <f>D12</f>
        <v>217555.81563835058</v>
      </c>
      <c r="E13" s="333">
        <f>D13+E12</f>
        <v>435111.63127670117</v>
      </c>
      <c r="F13" s="333">
        <f t="shared" ref="F13:M13" si="5">E13+F12</f>
        <v>435111.63127670117</v>
      </c>
      <c r="G13" s="90">
        <f t="shared" si="5"/>
        <v>614433.19766334561</v>
      </c>
      <c r="H13" s="90">
        <f t="shared" si="5"/>
        <v>793754.76404998999</v>
      </c>
      <c r="I13" s="90">
        <f t="shared" si="5"/>
        <v>793754.76404998999</v>
      </c>
      <c r="J13" s="87">
        <f t="shared" si="5"/>
        <v>1034336.7405609009</v>
      </c>
      <c r="K13" s="87">
        <f t="shared" si="5"/>
        <v>1274918.7170718117</v>
      </c>
      <c r="L13" s="87">
        <f t="shared" si="5"/>
        <v>1274918.7170718117</v>
      </c>
      <c r="M13" s="87">
        <f t="shared" si="5"/>
        <v>1274918.7170718117</v>
      </c>
    </row>
    <row r="14" spans="1:13" x14ac:dyDescent="0.15">
      <c r="A14" s="330" t="s">
        <v>289</v>
      </c>
      <c r="B14" s="331"/>
      <c r="C14" s="331"/>
      <c r="D14" s="333">
        <f>$C$6/2</f>
        <v>194107.57989441903</v>
      </c>
      <c r="E14" s="333">
        <f>$C$6/2</f>
        <v>194107.57989441903</v>
      </c>
      <c r="F14" s="333"/>
      <c r="G14" s="90">
        <f>$E$6/2</f>
        <v>159994.23031765679</v>
      </c>
      <c r="H14" s="90">
        <f>$E$6/2</f>
        <v>159994.23031765679</v>
      </c>
      <c r="I14" s="90"/>
      <c r="J14" s="87">
        <f>$G$6/2</f>
        <v>214651.97374625751</v>
      </c>
      <c r="K14" s="87">
        <f>$G$6/2</f>
        <v>214651.97374625751</v>
      </c>
      <c r="L14" s="89"/>
      <c r="M14" s="89"/>
    </row>
    <row r="15" spans="1:13" x14ac:dyDescent="0.15">
      <c r="A15" s="330" t="s">
        <v>290</v>
      </c>
      <c r="B15" s="331"/>
      <c r="C15" s="331"/>
      <c r="D15" s="333">
        <f>D14</f>
        <v>194107.57989441903</v>
      </c>
      <c r="E15" s="333">
        <f>D15+E14</f>
        <v>388215.15978883806</v>
      </c>
      <c r="F15" s="333">
        <f t="shared" ref="F15:M15" si="6">E15+F14</f>
        <v>388215.15978883806</v>
      </c>
      <c r="G15" s="90">
        <f t="shared" si="6"/>
        <v>548209.39010649489</v>
      </c>
      <c r="H15" s="90">
        <f t="shared" si="6"/>
        <v>708203.62042415165</v>
      </c>
      <c r="I15" s="90">
        <f t="shared" si="6"/>
        <v>708203.62042415165</v>
      </c>
      <c r="J15" s="87">
        <f t="shared" si="6"/>
        <v>922855.59417040914</v>
      </c>
      <c r="K15" s="87">
        <f t="shared" si="6"/>
        <v>1137507.5679166666</v>
      </c>
      <c r="L15" s="87">
        <f t="shared" si="6"/>
        <v>1137507.5679166666</v>
      </c>
      <c r="M15" s="87">
        <f t="shared" si="6"/>
        <v>1137507.5679166666</v>
      </c>
    </row>
    <row r="16" spans="1:13" ht="14.25" customHeight="1" x14ac:dyDescent="0.15">
      <c r="A16" s="330" t="s">
        <v>36</v>
      </c>
      <c r="B16" s="327"/>
      <c r="C16" s="327"/>
      <c r="D16" s="327"/>
      <c r="E16" s="327"/>
      <c r="F16" s="333">
        <f>D6-Phasing!H23</f>
        <v>404.28201720112918</v>
      </c>
      <c r="G16" s="90">
        <f>F16</f>
        <v>404.28201720112918</v>
      </c>
      <c r="H16" s="90">
        <f>G16+Phasing!H23</f>
        <v>497.87319510623604</v>
      </c>
      <c r="I16" s="90">
        <f>H16+F6</f>
        <v>915.22567174563915</v>
      </c>
      <c r="J16" s="87">
        <f>I16</f>
        <v>915.22567174563915</v>
      </c>
      <c r="K16" s="87">
        <f>J16</f>
        <v>915.22567174563915</v>
      </c>
      <c r="L16" s="87">
        <f>K16+H6</f>
        <v>1288.866860656974</v>
      </c>
      <c r="M16" s="87">
        <f>L16</f>
        <v>1288.866860656974</v>
      </c>
    </row>
    <row r="17" spans="1:17" ht="14.25" customHeight="1" x14ac:dyDescent="0.15">
      <c r="A17" s="330" t="s">
        <v>37</v>
      </c>
      <c r="B17" s="327">
        <v>826</v>
      </c>
      <c r="C17" s="327"/>
      <c r="D17" s="327"/>
      <c r="E17" s="327"/>
      <c r="F17" s="327"/>
      <c r="G17" s="88"/>
      <c r="H17" s="88"/>
      <c r="I17" s="88"/>
      <c r="J17" s="89"/>
      <c r="K17" s="89"/>
      <c r="L17" s="89"/>
      <c r="M17" s="89"/>
    </row>
    <row r="18" spans="1:17" ht="14.25" customHeight="1" x14ac:dyDescent="0.15">
      <c r="A18" s="330" t="s">
        <v>38</v>
      </c>
      <c r="B18" s="334">
        <f>'Apartment Mix'!Q9</f>
        <v>2.3754996102418398</v>
      </c>
      <c r="C18" s="334"/>
      <c r="D18" s="334">
        <f>B18*(1+$B$11)</f>
        <v>2.4230096024466765</v>
      </c>
      <c r="E18" s="334">
        <f t="shared" ref="E18:M18" si="7">D18*(1+$B$11)</f>
        <v>2.4714697944956101</v>
      </c>
      <c r="F18" s="335">
        <f t="shared" si="7"/>
        <v>2.5208991903855225</v>
      </c>
      <c r="G18" s="96">
        <f t="shared" si="7"/>
        <v>2.5713171741932328</v>
      </c>
      <c r="H18" s="96">
        <f t="shared" si="7"/>
        <v>2.6227435176770975</v>
      </c>
      <c r="I18" s="96">
        <f t="shared" si="7"/>
        <v>2.6751983880306396</v>
      </c>
      <c r="J18" s="97">
        <f t="shared" si="7"/>
        <v>2.7287023557912526</v>
      </c>
      <c r="K18" s="97">
        <f t="shared" si="7"/>
        <v>2.7832764029070778</v>
      </c>
      <c r="L18" s="97">
        <f t="shared" si="7"/>
        <v>2.8389419309652193</v>
      </c>
      <c r="M18" s="97">
        <f t="shared" si="7"/>
        <v>2.8957207695845235</v>
      </c>
    </row>
    <row r="19" spans="1:17" ht="14.25" customHeight="1" thickBot="1" x14ac:dyDescent="0.2">
      <c r="A19" s="336" t="s">
        <v>39</v>
      </c>
      <c r="B19" s="337">
        <f>(1-Assumptions!C22)</f>
        <v>0.95</v>
      </c>
      <c r="C19" s="338"/>
      <c r="D19" s="339"/>
      <c r="E19" s="339"/>
      <c r="F19" s="339"/>
      <c r="G19" s="94"/>
      <c r="H19" s="94"/>
      <c r="I19" s="94"/>
      <c r="J19" s="95"/>
      <c r="K19" s="95"/>
      <c r="L19" s="95"/>
      <c r="M19" s="95"/>
    </row>
    <row r="20" spans="1:17" ht="18" customHeight="1" x14ac:dyDescent="0.15">
      <c r="A20" s="340" t="s">
        <v>0</v>
      </c>
      <c r="B20" s="341"/>
      <c r="C20" s="342"/>
      <c r="D20" s="342"/>
      <c r="E20" s="342"/>
      <c r="F20" s="342"/>
      <c r="G20" s="98"/>
      <c r="H20" s="98"/>
      <c r="I20" s="98"/>
      <c r="J20" s="99"/>
      <c r="K20" s="99"/>
      <c r="L20" s="99"/>
      <c r="M20" s="99"/>
    </row>
    <row r="21" spans="1:17" ht="14.25" customHeight="1" x14ac:dyDescent="0.15">
      <c r="A21" s="330" t="s">
        <v>87</v>
      </c>
      <c r="B21" s="327"/>
      <c r="C21" s="343"/>
      <c r="D21" s="343"/>
      <c r="E21" s="343"/>
      <c r="F21" s="343">
        <f>F16*$B$17*F18*12*$B$19</f>
        <v>9596763.7016292084</v>
      </c>
      <c r="G21" s="100">
        <f t="shared" ref="G21:M21" si="8">G16*$B$17*G18*12*$B$19</f>
        <v>9788698.9756617937</v>
      </c>
      <c r="H21" s="100">
        <f t="shared" si="8"/>
        <v>12295875.75044609</v>
      </c>
      <c r="I21" s="100">
        <f t="shared" si="8"/>
        <v>23055210.200303521</v>
      </c>
      <c r="J21" s="101">
        <f t="shared" si="8"/>
        <v>23516314.404309593</v>
      </c>
      <c r="K21" s="101">
        <f t="shared" si="8"/>
        <v>23986640.692395788</v>
      </c>
      <c r="L21" s="101">
        <f t="shared" si="8"/>
        <v>34454778.735071614</v>
      </c>
      <c r="M21" s="101">
        <f t="shared" si="8"/>
        <v>35143874.309773043</v>
      </c>
    </row>
    <row r="22" spans="1:17" ht="14.25" customHeight="1" x14ac:dyDescent="0.15">
      <c r="A22" s="330" t="s">
        <v>182</v>
      </c>
      <c r="B22" s="331">
        <f>Assumptions!C21</f>
        <v>0.3</v>
      </c>
      <c r="C22" s="343"/>
      <c r="D22" s="343"/>
      <c r="E22" s="343"/>
      <c r="F22" s="343">
        <f>$B$22*F21</f>
        <v>2879029.1104887626</v>
      </c>
      <c r="G22" s="100">
        <f t="shared" ref="G22:M22" si="9">$B$22*G21</f>
        <v>2936609.6926985378</v>
      </c>
      <c r="H22" s="100">
        <f t="shared" si="9"/>
        <v>3688762.725133827</v>
      </c>
      <c r="I22" s="100">
        <f t="shared" si="9"/>
        <v>6916563.0600910559</v>
      </c>
      <c r="J22" s="101">
        <f t="shared" si="9"/>
        <v>7054894.3212928781</v>
      </c>
      <c r="K22" s="101">
        <f t="shared" si="9"/>
        <v>7195992.2077187365</v>
      </c>
      <c r="L22" s="101">
        <f t="shared" si="9"/>
        <v>10336433.620521484</v>
      </c>
      <c r="M22" s="101">
        <f t="shared" si="9"/>
        <v>10543162.292931912</v>
      </c>
    </row>
    <row r="23" spans="1:17" ht="14.25" customHeight="1" thickBot="1" x14ac:dyDescent="0.2">
      <c r="A23" s="344" t="s">
        <v>5</v>
      </c>
      <c r="B23" s="339"/>
      <c r="C23" s="345"/>
      <c r="D23" s="346">
        <f t="shared" ref="D23:E23" si="10">D21-D22</f>
        <v>0</v>
      </c>
      <c r="E23" s="346">
        <f t="shared" si="10"/>
        <v>0</v>
      </c>
      <c r="F23" s="346">
        <f>F21-F22</f>
        <v>6717734.5911404453</v>
      </c>
      <c r="G23" s="102">
        <f t="shared" ref="G23:M23" si="11">G21-G22</f>
        <v>6852089.2829632554</v>
      </c>
      <c r="H23" s="102">
        <f t="shared" si="11"/>
        <v>8607113.0253122635</v>
      </c>
      <c r="I23" s="102">
        <f t="shared" si="11"/>
        <v>16138647.140212465</v>
      </c>
      <c r="J23" s="103">
        <f t="shared" si="11"/>
        <v>16461420.083016716</v>
      </c>
      <c r="K23" s="103">
        <f t="shared" si="11"/>
        <v>16790648.48467705</v>
      </c>
      <c r="L23" s="103">
        <f t="shared" si="11"/>
        <v>24118345.114550129</v>
      </c>
      <c r="M23" s="103">
        <f t="shared" si="11"/>
        <v>24600712.016841128</v>
      </c>
    </row>
    <row r="24" spans="1:17" ht="18" customHeight="1" x14ac:dyDescent="0.15">
      <c r="A24" s="340" t="s">
        <v>2</v>
      </c>
      <c r="B24" s="341"/>
      <c r="C24" s="343"/>
      <c r="D24" s="343"/>
      <c r="E24" s="343"/>
      <c r="F24" s="343"/>
      <c r="G24" s="100"/>
      <c r="H24" s="100"/>
      <c r="I24" s="100"/>
      <c r="J24" s="101"/>
      <c r="K24" s="101"/>
      <c r="L24" s="101"/>
      <c r="M24" s="101"/>
    </row>
    <row r="25" spans="1:17" ht="14.25" customHeight="1" x14ac:dyDescent="0.15">
      <c r="A25" s="330" t="s">
        <v>187</v>
      </c>
      <c r="B25" s="289"/>
      <c r="C25" s="343"/>
      <c r="D25" s="347">
        <v>200</v>
      </c>
      <c r="E25" s="347">
        <f>D25*(1+$B$11)</f>
        <v>204</v>
      </c>
      <c r="F25" s="347">
        <f t="shared" ref="F25:M25" si="12">E25*(1+$B$11)</f>
        <v>208.08</v>
      </c>
      <c r="G25" s="92">
        <f t="shared" si="12"/>
        <v>212.24160000000001</v>
      </c>
      <c r="H25" s="92">
        <f t="shared" si="12"/>
        <v>216.48643200000001</v>
      </c>
      <c r="I25" s="92">
        <f t="shared" si="12"/>
        <v>220.81616064000002</v>
      </c>
      <c r="J25" s="93">
        <f t="shared" si="12"/>
        <v>225.23248385280002</v>
      </c>
      <c r="K25" s="93">
        <f t="shared" si="12"/>
        <v>229.73713352985601</v>
      </c>
      <c r="L25" s="93">
        <f t="shared" si="12"/>
        <v>234.33187620045314</v>
      </c>
      <c r="M25" s="93">
        <f t="shared" si="12"/>
        <v>239.0185137244622</v>
      </c>
    </row>
    <row r="26" spans="1:17" ht="14.25" customHeight="1" x14ac:dyDescent="0.15">
      <c r="A26" s="330" t="s">
        <v>188</v>
      </c>
      <c r="B26" s="327"/>
      <c r="C26" s="343"/>
      <c r="D26" s="343">
        <f>-D12*D25</f>
        <v>-43511163.127670117</v>
      </c>
      <c r="E26" s="343">
        <f t="shared" ref="E26:M26" si="13">-E12*E25</f>
        <v>-44381386.390223518</v>
      </c>
      <c r="F26" s="343">
        <f t="shared" si="13"/>
        <v>0</v>
      </c>
      <c r="G26" s="100">
        <f t="shared" si="13"/>
        <v>-38059496.164407626</v>
      </c>
      <c r="H26" s="100">
        <f t="shared" si="13"/>
        <v>-38820686.087695777</v>
      </c>
      <c r="I26" s="100">
        <f t="shared" si="13"/>
        <v>0</v>
      </c>
      <c r="J26" s="101">
        <f t="shared" si="13"/>
        <v>-54186876.139768437</v>
      </c>
      <c r="K26" s="101">
        <f t="shared" si="13"/>
        <v>-55270613.662563808</v>
      </c>
      <c r="L26" s="101">
        <f t="shared" si="13"/>
        <v>0</v>
      </c>
      <c r="M26" s="101">
        <f t="shared" si="13"/>
        <v>0</v>
      </c>
      <c r="Q26" s="199"/>
    </row>
    <row r="27" spans="1:17" ht="14.25" customHeight="1" x14ac:dyDescent="0.15">
      <c r="A27" s="330" t="s">
        <v>14</v>
      </c>
      <c r="B27" s="331">
        <v>0.11</v>
      </c>
      <c r="C27" s="343">
        <f>$B$27*SUM($C$26:$E$26)/3</f>
        <v>-3222726.8156560999</v>
      </c>
      <c r="D27" s="343">
        <f t="shared" ref="D27:E27" si="14">$B$27*SUM($C$26:$E$26)/3</f>
        <v>-3222726.8156560999</v>
      </c>
      <c r="E27" s="343">
        <f t="shared" si="14"/>
        <v>-3222726.8156560999</v>
      </c>
      <c r="F27" s="343">
        <f>$B$27*SUM($G$26:$I$26)/3</f>
        <v>-2818940.0159104583</v>
      </c>
      <c r="G27" s="100">
        <f t="shared" ref="G27:H27" si="15">$B$27*SUM($G$26:$I$26)/3</f>
        <v>-2818940.0159104583</v>
      </c>
      <c r="H27" s="100">
        <f t="shared" si="15"/>
        <v>-2818940.0159104583</v>
      </c>
      <c r="I27" s="100">
        <f>$B$27*SUM($J$26:$L$26)/3</f>
        <v>-4013441.2927521826</v>
      </c>
      <c r="J27" s="101">
        <f t="shared" ref="J27:K27" si="16">$B$27*SUM($J$26:$L$26)/3</f>
        <v>-4013441.2927521826</v>
      </c>
      <c r="K27" s="101">
        <f t="shared" si="16"/>
        <v>-4013441.2927521826</v>
      </c>
      <c r="L27" s="101"/>
      <c r="M27" s="101"/>
      <c r="Q27" s="199"/>
    </row>
    <row r="28" spans="1:17" ht="14.25" customHeight="1" thickBot="1" x14ac:dyDescent="0.2">
      <c r="A28" s="344" t="s">
        <v>3</v>
      </c>
      <c r="B28" s="348"/>
      <c r="C28" s="346">
        <f>SUM(C26:C27)</f>
        <v>-3222726.8156560999</v>
      </c>
      <c r="D28" s="346">
        <f t="shared" ref="D28:M28" si="17">D26+D27</f>
        <v>-46733889.94332622</v>
      </c>
      <c r="E28" s="346">
        <f t="shared" si="17"/>
        <v>-47604113.205879621</v>
      </c>
      <c r="F28" s="346">
        <f t="shared" si="17"/>
        <v>-2818940.0159104583</v>
      </c>
      <c r="G28" s="102">
        <f t="shared" si="17"/>
        <v>-40878436.180318087</v>
      </c>
      <c r="H28" s="102">
        <f t="shared" si="17"/>
        <v>-41639626.103606239</v>
      </c>
      <c r="I28" s="102">
        <f t="shared" si="17"/>
        <v>-4013441.2927521826</v>
      </c>
      <c r="J28" s="103">
        <f t="shared" si="17"/>
        <v>-58200317.432520621</v>
      </c>
      <c r="K28" s="103">
        <f t="shared" si="17"/>
        <v>-59284054.955315992</v>
      </c>
      <c r="L28" s="103">
        <f t="shared" si="17"/>
        <v>0</v>
      </c>
      <c r="M28" s="103">
        <f t="shared" si="17"/>
        <v>0</v>
      </c>
    </row>
    <row r="29" spans="1:17" ht="18" customHeight="1" x14ac:dyDescent="0.15">
      <c r="A29" s="340" t="s">
        <v>4</v>
      </c>
      <c r="B29" s="341"/>
      <c r="C29" s="342"/>
      <c r="D29" s="342"/>
      <c r="E29" s="342"/>
      <c r="F29" s="342"/>
      <c r="G29" s="98"/>
      <c r="H29" s="98"/>
      <c r="I29" s="98"/>
      <c r="J29" s="99"/>
      <c r="K29" s="99"/>
      <c r="L29" s="99"/>
      <c r="M29" s="99"/>
    </row>
    <row r="30" spans="1:17" ht="14.25" customHeight="1" x14ac:dyDescent="0.15">
      <c r="A30" s="330" t="s">
        <v>5</v>
      </c>
      <c r="B30" s="327"/>
      <c r="C30" s="343"/>
      <c r="D30" s="343"/>
      <c r="E30" s="343"/>
      <c r="F30" s="343">
        <f t="shared" ref="F30:M30" si="18">F23</f>
        <v>6717734.5911404453</v>
      </c>
      <c r="G30" s="100">
        <f t="shared" si="18"/>
        <v>6852089.2829632554</v>
      </c>
      <c r="H30" s="100">
        <f t="shared" si="18"/>
        <v>8607113.0253122635</v>
      </c>
      <c r="I30" s="100">
        <f t="shared" si="18"/>
        <v>16138647.140212465</v>
      </c>
      <c r="J30" s="101">
        <f t="shared" si="18"/>
        <v>16461420.083016716</v>
      </c>
      <c r="K30" s="101">
        <f t="shared" si="18"/>
        <v>16790648.48467705</v>
      </c>
      <c r="L30" s="101">
        <f t="shared" si="18"/>
        <v>24118345.114550129</v>
      </c>
      <c r="M30" s="101">
        <f t="shared" si="18"/>
        <v>24600712.016841128</v>
      </c>
    </row>
    <row r="31" spans="1:17" ht="14.25" customHeight="1" x14ac:dyDescent="0.15">
      <c r="A31" s="330" t="s">
        <v>70</v>
      </c>
      <c r="B31" s="331"/>
      <c r="C31" s="343"/>
      <c r="D31" s="343"/>
      <c r="E31" s="343"/>
      <c r="F31" s="343">
        <f>F30/Assumptions!$C$25</f>
        <v>122140628.92982627</v>
      </c>
      <c r="G31" s="100">
        <f>G30/Assumptions!$C$25</f>
        <v>124583441.50842282</v>
      </c>
      <c r="H31" s="100">
        <f>H30/Assumptions!$C$25</f>
        <v>156492964.09658661</v>
      </c>
      <c r="I31" s="100">
        <f>I30/Assumptions!$C$25</f>
        <v>293429948.00386298</v>
      </c>
      <c r="J31" s="101">
        <f>J30/Assumptions!$C$25</f>
        <v>299298546.96394026</v>
      </c>
      <c r="K31" s="101">
        <f>K30/Assumptions!$C$25</f>
        <v>305284517.9032191</v>
      </c>
      <c r="L31" s="101">
        <f>L30/Assumptions!$C$25</f>
        <v>438515365.71909326</v>
      </c>
      <c r="M31" s="101">
        <f>M30/Assumptions!$C$25</f>
        <v>447285673.03347504</v>
      </c>
    </row>
    <row r="32" spans="1:17" ht="14.25" customHeight="1" x14ac:dyDescent="0.15">
      <c r="A32" s="330" t="s">
        <v>71</v>
      </c>
      <c r="B32" s="331">
        <f>Assumptions!C24</f>
        <v>0.03</v>
      </c>
      <c r="C32" s="343"/>
      <c r="D32" s="343"/>
      <c r="E32" s="343"/>
      <c r="F32" s="343"/>
      <c r="G32" s="100"/>
      <c r="H32" s="100"/>
      <c r="I32" s="100"/>
      <c r="J32" s="101"/>
      <c r="K32" s="101"/>
      <c r="L32" s="101"/>
      <c r="M32" s="101">
        <f>-B32*M31</f>
        <v>-13418570.19100425</v>
      </c>
    </row>
    <row r="33" spans="1:13" ht="14.25" customHeight="1" thickBot="1" x14ac:dyDescent="0.2">
      <c r="A33" s="344" t="s">
        <v>183</v>
      </c>
      <c r="B33" s="348"/>
      <c r="C33" s="346">
        <f>C30</f>
        <v>0</v>
      </c>
      <c r="D33" s="346">
        <f t="shared" ref="D33:L33" si="19">D30</f>
        <v>0</v>
      </c>
      <c r="E33" s="346">
        <f t="shared" si="19"/>
        <v>0</v>
      </c>
      <c r="F33" s="346">
        <f t="shared" si="19"/>
        <v>6717734.5911404453</v>
      </c>
      <c r="G33" s="102">
        <f t="shared" si="19"/>
        <v>6852089.2829632554</v>
      </c>
      <c r="H33" s="102">
        <f t="shared" si="19"/>
        <v>8607113.0253122635</v>
      </c>
      <c r="I33" s="102">
        <f t="shared" si="19"/>
        <v>16138647.140212465</v>
      </c>
      <c r="J33" s="103">
        <f t="shared" si="19"/>
        <v>16461420.083016716</v>
      </c>
      <c r="K33" s="103">
        <f t="shared" si="19"/>
        <v>16790648.48467705</v>
      </c>
      <c r="L33" s="103">
        <f t="shared" si="19"/>
        <v>24118345.114550129</v>
      </c>
      <c r="M33" s="103">
        <f>SUM(M30:M32)</f>
        <v>458467814.85931188</v>
      </c>
    </row>
    <row r="34" spans="1:13" ht="18" customHeight="1" x14ac:dyDescent="0.15">
      <c r="A34" s="340" t="s">
        <v>6</v>
      </c>
      <c r="B34" s="327"/>
      <c r="C34" s="343">
        <f>C23+C28</f>
        <v>-3222726.8156560999</v>
      </c>
      <c r="D34" s="343">
        <f t="shared" ref="D34:L34" si="20">D23+D28</f>
        <v>-46733889.94332622</v>
      </c>
      <c r="E34" s="343">
        <f t="shared" si="20"/>
        <v>-47604113.205879621</v>
      </c>
      <c r="F34" s="343">
        <f t="shared" si="20"/>
        <v>3898794.575229987</v>
      </c>
      <c r="G34" s="100">
        <f t="shared" si="20"/>
        <v>-34026346.897354834</v>
      </c>
      <c r="H34" s="100">
        <f t="shared" si="20"/>
        <v>-33032513.078293975</v>
      </c>
      <c r="I34" s="100">
        <f t="shared" si="20"/>
        <v>12125205.847460283</v>
      </c>
      <c r="J34" s="101">
        <f t="shared" si="20"/>
        <v>-41738897.349503905</v>
      </c>
      <c r="K34" s="101">
        <f t="shared" si="20"/>
        <v>-42493406.470638946</v>
      </c>
      <c r="L34" s="101">
        <f t="shared" si="20"/>
        <v>24118345.114550129</v>
      </c>
      <c r="M34" s="101">
        <f t="shared" ref="M34" si="21">M33+M28</f>
        <v>458467814.85931188</v>
      </c>
    </row>
    <row r="35" spans="1:13" ht="18" customHeight="1" x14ac:dyDescent="0.15">
      <c r="A35" s="329" t="s">
        <v>20</v>
      </c>
      <c r="B35" s="349">
        <f>C34+NPV(Assumptions!$F$40,D34:M34)</f>
        <v>26717796.957511954</v>
      </c>
      <c r="C35" s="331"/>
      <c r="D35" s="327"/>
      <c r="E35" s="327"/>
      <c r="F35" s="347"/>
      <c r="G35" s="92"/>
      <c r="H35" s="92"/>
      <c r="I35" s="92"/>
      <c r="J35" s="93"/>
      <c r="K35" s="93"/>
      <c r="L35" s="93"/>
      <c r="M35" s="93"/>
    </row>
    <row r="36" spans="1:13" ht="18" customHeight="1" x14ac:dyDescent="0.15">
      <c r="A36" s="329" t="s">
        <v>72</v>
      </c>
      <c r="B36" s="331">
        <f>IRR(C34:M34)</f>
        <v>0.1266808187199433</v>
      </c>
      <c r="C36" s="327"/>
      <c r="D36" s="327"/>
      <c r="E36" s="327"/>
      <c r="F36" s="347"/>
      <c r="G36" s="92"/>
      <c r="H36" s="92"/>
      <c r="I36" s="92"/>
      <c r="J36" s="93"/>
      <c r="K36" s="93"/>
      <c r="L36" s="93"/>
      <c r="M36" s="93"/>
    </row>
    <row r="37" spans="1:13" ht="18" customHeight="1" x14ac:dyDescent="0.15">
      <c r="A37" s="329"/>
      <c r="B37" s="327"/>
      <c r="C37" s="327"/>
      <c r="D37" s="327"/>
      <c r="E37" s="327"/>
      <c r="F37" s="347"/>
      <c r="G37" s="92"/>
      <c r="H37" s="92"/>
      <c r="I37" s="92"/>
      <c r="J37" s="93"/>
      <c r="K37" s="93"/>
      <c r="L37" s="93"/>
      <c r="M37" s="93"/>
    </row>
  </sheetData>
  <phoneticPr fontId="5" type="noConversion"/>
  <pageMargins left="0.5" right="0.5" top="1" bottom="0.5" header="0.5" footer="0.5"/>
  <pageSetup orientation="landscape" r:id="rId1"/>
  <headerFooter alignWithMargins="0">
    <oddHeader>&amp;L&amp;"Arial,Bold"2. Income Statement: Market-rate Rental Housing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4C243-0629-46DF-9FD7-860CD97726DD}">
  <dimension ref="A1:P39"/>
  <sheetViews>
    <sheetView zoomScaleNormal="100" workbookViewId="0">
      <selection activeCell="L1" sqref="L1:M1"/>
    </sheetView>
  </sheetViews>
  <sheetFormatPr baseColWidth="10" defaultColWidth="9.1640625" defaultRowHeight="13" x14ac:dyDescent="0.15"/>
  <cols>
    <col min="1" max="1" width="23.33203125" style="1" customWidth="1"/>
    <col min="2" max="3" width="11.83203125" style="3" bestFit="1" customWidth="1"/>
    <col min="4" max="5" width="9.5" style="1" bestFit="1" customWidth="1"/>
    <col min="6" max="8" width="10.6640625" style="1" bestFit="1" customWidth="1"/>
    <col min="9" max="9" width="11.5" style="1" bestFit="1" customWidth="1"/>
    <col min="10" max="11" width="10.6640625" style="1" bestFit="1" customWidth="1"/>
    <col min="12" max="13" width="11.5" style="1" bestFit="1" customWidth="1"/>
    <col min="14" max="16384" width="9.1640625" style="1"/>
  </cols>
  <sheetData>
    <row r="1" spans="1:13" ht="14.25" customHeight="1" thickBot="1" x14ac:dyDescent="0.2">
      <c r="A1" s="350" t="s">
        <v>299</v>
      </c>
      <c r="B1" s="351"/>
      <c r="C1" s="352" t="s">
        <v>35</v>
      </c>
      <c r="D1" s="352"/>
      <c r="E1" s="70" t="s">
        <v>153</v>
      </c>
      <c r="F1" s="70"/>
      <c r="G1" s="71" t="s">
        <v>154</v>
      </c>
      <c r="H1" s="71"/>
      <c r="I1" s="78" t="s">
        <v>179</v>
      </c>
      <c r="J1" s="79"/>
      <c r="L1" s="214" t="s">
        <v>46</v>
      </c>
      <c r="M1" s="215">
        <v>199991</v>
      </c>
    </row>
    <row r="2" spans="1:13" ht="14.25" customHeight="1" x14ac:dyDescent="0.15">
      <c r="A2" s="353" t="s">
        <v>176</v>
      </c>
      <c r="B2" s="354" t="s">
        <v>177</v>
      </c>
      <c r="C2" s="354" t="s">
        <v>110</v>
      </c>
      <c r="D2" s="354" t="s">
        <v>112</v>
      </c>
      <c r="E2" s="72" t="s">
        <v>110</v>
      </c>
      <c r="F2" s="72" t="s">
        <v>112</v>
      </c>
      <c r="G2" s="73" t="s">
        <v>110</v>
      </c>
      <c r="H2" s="73" t="s">
        <v>112</v>
      </c>
      <c r="I2" s="80" t="s">
        <v>110</v>
      </c>
      <c r="J2" s="81" t="s">
        <v>112</v>
      </c>
      <c r="K2" s="288"/>
      <c r="L2" s="363"/>
      <c r="M2" s="364"/>
    </row>
    <row r="3" spans="1:13" ht="14.25" customHeight="1" x14ac:dyDescent="0.15">
      <c r="A3" s="355" t="s">
        <v>178</v>
      </c>
      <c r="B3" s="356">
        <f>Assumptions!C7</f>
        <v>600</v>
      </c>
      <c r="C3" s="356">
        <f>Phasing!C11</f>
        <v>0</v>
      </c>
      <c r="D3" s="356">
        <f>Phasing!D11</f>
        <v>0</v>
      </c>
      <c r="E3" s="74">
        <f>Phasing!E11</f>
        <v>0</v>
      </c>
      <c r="F3" s="74">
        <f>Phasing!F11</f>
        <v>0</v>
      </c>
      <c r="G3" s="75">
        <f>Phasing!G11</f>
        <v>0</v>
      </c>
      <c r="H3" s="75">
        <f>Phasing!H11</f>
        <v>0</v>
      </c>
      <c r="I3" s="82">
        <f>C3+E3+G3</f>
        <v>0</v>
      </c>
      <c r="J3" s="82">
        <f>D3+F3+H3</f>
        <v>0</v>
      </c>
      <c r="K3" s="288"/>
      <c r="L3" s="363"/>
      <c r="M3" s="364"/>
    </row>
    <row r="4" spans="1:13" ht="14.25" customHeight="1" x14ac:dyDescent="0.15">
      <c r="A4" s="355" t="s">
        <v>159</v>
      </c>
      <c r="B4" s="356">
        <f>Assumptions!C11</f>
        <v>800</v>
      </c>
      <c r="C4" s="356">
        <f>Phasing!C12</f>
        <v>0</v>
      </c>
      <c r="D4" s="356">
        <f>Phasing!D12</f>
        <v>0</v>
      </c>
      <c r="E4" s="74">
        <f>Phasing!E12</f>
        <v>0</v>
      </c>
      <c r="F4" s="74">
        <f>Phasing!F12</f>
        <v>0</v>
      </c>
      <c r="G4" s="75">
        <f>Phasing!G12</f>
        <v>0</v>
      </c>
      <c r="H4" s="75">
        <f>Phasing!H12</f>
        <v>0</v>
      </c>
      <c r="I4" s="82">
        <f t="shared" ref="I4:J5" si="0">C4+E4+G4</f>
        <v>0</v>
      </c>
      <c r="J4" s="82">
        <f t="shared" si="0"/>
        <v>0</v>
      </c>
      <c r="K4" s="288"/>
      <c r="L4" s="363"/>
      <c r="M4" s="364"/>
    </row>
    <row r="5" spans="1:13" ht="14.25" customHeight="1" thickBot="1" x14ac:dyDescent="0.2">
      <c r="A5" s="355" t="s">
        <v>160</v>
      </c>
      <c r="B5" s="356">
        <f>Assumptions!C15</f>
        <v>1150</v>
      </c>
      <c r="C5" s="356">
        <f>Phasing!C13</f>
        <v>196131.84021116194</v>
      </c>
      <c r="D5" s="356">
        <f>Phasing!D13</f>
        <v>170.54942627057562</v>
      </c>
      <c r="E5" s="74">
        <f>Phasing!E13</f>
        <v>119608.53936468641</v>
      </c>
      <c r="F5" s="74">
        <f>Phasing!F13</f>
        <v>158.26525864994045</v>
      </c>
      <c r="G5" s="75">
        <f>Phasing!G13</f>
        <v>108804.05250748497</v>
      </c>
      <c r="H5" s="75">
        <f>Phasing!H13</f>
        <v>40.354386456295536</v>
      </c>
      <c r="I5" s="82">
        <f t="shared" si="0"/>
        <v>424544.43208333332</v>
      </c>
      <c r="J5" s="82">
        <f t="shared" si="0"/>
        <v>369.16907137681159</v>
      </c>
      <c r="K5" s="288"/>
      <c r="L5" s="363"/>
      <c r="M5" s="364"/>
    </row>
    <row r="6" spans="1:13" ht="14.25" customHeight="1" thickBot="1" x14ac:dyDescent="0.2">
      <c r="A6" s="357" t="s">
        <v>179</v>
      </c>
      <c r="B6" s="358"/>
      <c r="C6" s="359">
        <f>SUM(C3:C5)</f>
        <v>196131.84021116194</v>
      </c>
      <c r="D6" s="359">
        <f t="shared" ref="D6:G6" si="1">SUM(D3:D5)</f>
        <v>170.54942627057562</v>
      </c>
      <c r="E6" s="76">
        <f t="shared" si="1"/>
        <v>119608.53936468641</v>
      </c>
      <c r="F6" s="76">
        <f t="shared" si="1"/>
        <v>158.26525864994045</v>
      </c>
      <c r="G6" s="77">
        <f t="shared" si="1"/>
        <v>108804.05250748497</v>
      </c>
      <c r="H6" s="77">
        <f>SUM(H3:H5)</f>
        <v>40.354386456295536</v>
      </c>
      <c r="I6" s="83">
        <f t="shared" ref="I6:J6" si="2">SUM(I3:I5)</f>
        <v>424544.43208333332</v>
      </c>
      <c r="J6" s="84">
        <f t="shared" si="2"/>
        <v>369.16907137681159</v>
      </c>
      <c r="K6" s="288"/>
      <c r="L6" s="363"/>
      <c r="M6" s="364"/>
    </row>
    <row r="7" spans="1:13" ht="14.25" customHeight="1" x14ac:dyDescent="0.15">
      <c r="A7" s="288"/>
      <c r="B7" s="289"/>
      <c r="C7" s="289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13" ht="14.25" customHeight="1" x14ac:dyDescent="0.15">
      <c r="A8" s="326"/>
      <c r="B8" s="327"/>
      <c r="C8" s="327" t="s">
        <v>68</v>
      </c>
      <c r="D8" s="328" t="s">
        <v>35</v>
      </c>
      <c r="E8" s="327"/>
      <c r="F8" s="327"/>
      <c r="G8" s="88" t="s">
        <v>153</v>
      </c>
      <c r="H8" s="88"/>
      <c r="I8" s="88"/>
      <c r="J8" s="89" t="s">
        <v>154</v>
      </c>
      <c r="K8" s="89"/>
      <c r="L8" s="89"/>
      <c r="M8" s="89"/>
    </row>
    <row r="9" spans="1:13" ht="14.25" customHeight="1" x14ac:dyDescent="0.15">
      <c r="A9" s="326"/>
      <c r="B9" s="328" t="s">
        <v>19</v>
      </c>
      <c r="C9" s="328" t="s">
        <v>88</v>
      </c>
      <c r="D9" s="328">
        <v>2021</v>
      </c>
      <c r="E9" s="328">
        <f>D9+1</f>
        <v>2022</v>
      </c>
      <c r="F9" s="328">
        <f t="shared" ref="F9:M9" si="3">E9+1</f>
        <v>2023</v>
      </c>
      <c r="G9" s="88">
        <f t="shared" si="3"/>
        <v>2024</v>
      </c>
      <c r="H9" s="88">
        <f t="shared" si="3"/>
        <v>2025</v>
      </c>
      <c r="I9" s="88">
        <f t="shared" si="3"/>
        <v>2026</v>
      </c>
      <c r="J9" s="89">
        <f t="shared" si="3"/>
        <v>2027</v>
      </c>
      <c r="K9" s="89">
        <f t="shared" si="3"/>
        <v>2028</v>
      </c>
      <c r="L9" s="89">
        <f t="shared" si="3"/>
        <v>2029</v>
      </c>
      <c r="M9" s="89">
        <f t="shared" si="3"/>
        <v>2030</v>
      </c>
    </row>
    <row r="10" spans="1:13" ht="18" customHeight="1" x14ac:dyDescent="0.15">
      <c r="A10" s="329" t="s">
        <v>11</v>
      </c>
      <c r="B10" s="327"/>
      <c r="C10" s="327"/>
      <c r="D10" s="327"/>
      <c r="E10" s="327"/>
      <c r="F10" s="327"/>
      <c r="G10" s="88"/>
      <c r="H10" s="88"/>
      <c r="I10" s="88"/>
      <c r="J10" s="89"/>
      <c r="K10" s="89"/>
      <c r="L10" s="89"/>
      <c r="M10" s="89"/>
    </row>
    <row r="11" spans="1:13" x14ac:dyDescent="0.15">
      <c r="A11" s="330" t="s">
        <v>12</v>
      </c>
      <c r="B11" s="331">
        <v>0.02</v>
      </c>
      <c r="C11" s="331"/>
      <c r="D11" s="332"/>
      <c r="E11" s="332"/>
      <c r="F11" s="332"/>
      <c r="G11" s="88"/>
      <c r="H11" s="88"/>
      <c r="I11" s="88"/>
      <c r="J11" s="89"/>
      <c r="K11" s="89"/>
      <c r="L11" s="89"/>
      <c r="M11" s="89"/>
    </row>
    <row r="12" spans="1:13" x14ac:dyDescent="0.15">
      <c r="A12" s="330" t="s">
        <v>186</v>
      </c>
      <c r="B12" s="331"/>
      <c r="C12" s="331"/>
      <c r="D12" s="333">
        <f>D14*Assumptions!$V$15</f>
        <v>109912.30350973227</v>
      </c>
      <c r="E12" s="333">
        <f>E14*Assumptions!$V$15</f>
        <v>109912.30350973227</v>
      </c>
      <c r="F12" s="333">
        <f>F14*Assumptions!$V$15</f>
        <v>0</v>
      </c>
      <c r="G12" s="90">
        <f>G14*Assumptions!$V$15</f>
        <v>67028.637812469795</v>
      </c>
      <c r="H12" s="90">
        <f>H14*Assumptions!$V$15</f>
        <v>67028.637812469795</v>
      </c>
      <c r="I12" s="90">
        <f>I14*Assumptions!$V$15</f>
        <v>0</v>
      </c>
      <c r="J12" s="87">
        <f>J14*Assumptions!$V$15</f>
        <v>60973.802261867269</v>
      </c>
      <c r="K12" s="87">
        <f>K14*Assumptions!$V$15</f>
        <v>60973.802261867269</v>
      </c>
      <c r="L12" s="266">
        <f>L14*Assumptions!$V$15</f>
        <v>0</v>
      </c>
      <c r="M12" s="266">
        <f>M14*Assumptions!$V$15</f>
        <v>0</v>
      </c>
    </row>
    <row r="13" spans="1:13" x14ac:dyDescent="0.15">
      <c r="A13" s="330" t="s">
        <v>190</v>
      </c>
      <c r="B13" s="331"/>
      <c r="C13" s="331"/>
      <c r="D13" s="333">
        <f>D12</f>
        <v>109912.30350973227</v>
      </c>
      <c r="E13" s="333">
        <f>D13+E12</f>
        <v>219824.60701946454</v>
      </c>
      <c r="F13" s="333">
        <f t="shared" ref="F13:M13" si="4">E13+F12</f>
        <v>219824.60701946454</v>
      </c>
      <c r="G13" s="90">
        <f t="shared" si="4"/>
        <v>286853.24483193434</v>
      </c>
      <c r="H13" s="90">
        <f t="shared" si="4"/>
        <v>353881.88264440413</v>
      </c>
      <c r="I13" s="90">
        <f t="shared" si="4"/>
        <v>353881.88264440413</v>
      </c>
      <c r="J13" s="87">
        <f t="shared" si="4"/>
        <v>414855.6849062714</v>
      </c>
      <c r="K13" s="87">
        <f t="shared" si="4"/>
        <v>475829.48716813867</v>
      </c>
      <c r="L13" s="87">
        <f t="shared" si="4"/>
        <v>475829.48716813867</v>
      </c>
      <c r="M13" s="87">
        <f t="shared" si="4"/>
        <v>475829.48716813867</v>
      </c>
    </row>
    <row r="14" spans="1:13" x14ac:dyDescent="0.15">
      <c r="A14" s="330" t="s">
        <v>289</v>
      </c>
      <c r="B14" s="331"/>
      <c r="C14" s="331"/>
      <c r="D14" s="333">
        <f>$C$6/2</f>
        <v>98065.920105580968</v>
      </c>
      <c r="E14" s="333">
        <f>$C$6/2</f>
        <v>98065.920105580968</v>
      </c>
      <c r="F14" s="333"/>
      <c r="G14" s="90">
        <f>$E$6/2</f>
        <v>59804.269682343205</v>
      </c>
      <c r="H14" s="90">
        <f>$E$6/2</f>
        <v>59804.269682343205</v>
      </c>
      <c r="I14" s="90"/>
      <c r="J14" s="87">
        <f>$G$6/2</f>
        <v>54402.026253742486</v>
      </c>
      <c r="K14" s="87">
        <f>$G$6/2</f>
        <v>54402.026253742486</v>
      </c>
      <c r="L14" s="89"/>
      <c r="M14" s="89"/>
    </row>
    <row r="15" spans="1:13" x14ac:dyDescent="0.15">
      <c r="A15" s="330" t="s">
        <v>290</v>
      </c>
      <c r="B15" s="331"/>
      <c r="C15" s="331"/>
      <c r="D15" s="333">
        <f>D14</f>
        <v>98065.920105580968</v>
      </c>
      <c r="E15" s="333">
        <f>D15+E14</f>
        <v>196131.84021116194</v>
      </c>
      <c r="F15" s="333">
        <f t="shared" ref="F15:M15" si="5">E15+F14</f>
        <v>196131.84021116194</v>
      </c>
      <c r="G15" s="90">
        <f t="shared" si="5"/>
        <v>255936.10989350514</v>
      </c>
      <c r="H15" s="90">
        <f t="shared" si="5"/>
        <v>315740.37957584835</v>
      </c>
      <c r="I15" s="90">
        <f t="shared" si="5"/>
        <v>315740.37957584835</v>
      </c>
      <c r="J15" s="87">
        <f t="shared" si="5"/>
        <v>370142.40582959086</v>
      </c>
      <c r="K15" s="87">
        <f t="shared" si="5"/>
        <v>424544.43208333338</v>
      </c>
      <c r="L15" s="87">
        <f t="shared" si="5"/>
        <v>424544.43208333338</v>
      </c>
      <c r="M15" s="87">
        <f t="shared" si="5"/>
        <v>424544.43208333338</v>
      </c>
    </row>
    <row r="16" spans="1:13" ht="14.25" customHeight="1" x14ac:dyDescent="0.15">
      <c r="A16" s="330" t="s">
        <v>36</v>
      </c>
      <c r="B16" s="327"/>
      <c r="C16" s="327"/>
      <c r="D16" s="327"/>
      <c r="E16" s="327"/>
      <c r="F16" s="333">
        <f>D6-Phasing!H27</f>
        <v>126.86739765394334</v>
      </c>
      <c r="G16" s="90">
        <f>F16</f>
        <v>126.86739765394334</v>
      </c>
      <c r="H16" s="90">
        <f>G16+Phasing!H27</f>
        <v>170.54942627057562</v>
      </c>
      <c r="I16" s="90">
        <f>H16+F6</f>
        <v>328.81468492051607</v>
      </c>
      <c r="J16" s="87">
        <f>I16</f>
        <v>328.81468492051607</v>
      </c>
      <c r="K16" s="87">
        <f>J16</f>
        <v>328.81468492051607</v>
      </c>
      <c r="L16" s="87">
        <f>K16+H6</f>
        <v>369.16907137681159</v>
      </c>
      <c r="M16" s="87">
        <f>L16</f>
        <v>369.16907137681159</v>
      </c>
    </row>
    <row r="17" spans="1:16" ht="14.25" customHeight="1" x14ac:dyDescent="0.15">
      <c r="A17" s="330" t="s">
        <v>37</v>
      </c>
      <c r="B17" s="333">
        <f>B5</f>
        <v>1150</v>
      </c>
      <c r="C17" s="327"/>
      <c r="D17" s="327"/>
      <c r="E17" s="327"/>
      <c r="F17" s="327"/>
      <c r="G17" s="88"/>
      <c r="H17" s="88"/>
      <c r="I17" s="88"/>
      <c r="J17" s="89"/>
      <c r="K17" s="89"/>
      <c r="L17" s="89"/>
      <c r="M17" s="89"/>
    </row>
    <row r="18" spans="1:16" ht="14.25" customHeight="1" x14ac:dyDescent="0.15">
      <c r="A18" s="330" t="s">
        <v>38</v>
      </c>
      <c r="B18" s="334">
        <f>Assumptions!F14</f>
        <v>1.44</v>
      </c>
      <c r="C18" s="334"/>
      <c r="D18" s="334">
        <f>B18*(1+$B$11)</f>
        <v>1.4687999999999999</v>
      </c>
      <c r="E18" s="334">
        <f t="shared" ref="E18:M18" si="6">D18*(1+$B$11)</f>
        <v>1.498176</v>
      </c>
      <c r="F18" s="335">
        <f t="shared" si="6"/>
        <v>1.5281395200000001</v>
      </c>
      <c r="G18" s="96">
        <f t="shared" si="6"/>
        <v>1.5587023104000002</v>
      </c>
      <c r="H18" s="96">
        <f t="shared" si="6"/>
        <v>1.5898763566080003</v>
      </c>
      <c r="I18" s="96">
        <f t="shared" si="6"/>
        <v>1.6216738837401603</v>
      </c>
      <c r="J18" s="97">
        <f t="shared" si="6"/>
        <v>1.6541073614149635</v>
      </c>
      <c r="K18" s="97">
        <f t="shared" si="6"/>
        <v>1.6871895086432629</v>
      </c>
      <c r="L18" s="97">
        <f t="shared" si="6"/>
        <v>1.7209332988161281</v>
      </c>
      <c r="M18" s="97">
        <f t="shared" si="6"/>
        <v>1.7553519647924507</v>
      </c>
    </row>
    <row r="19" spans="1:16" ht="14.25" customHeight="1" thickBot="1" x14ac:dyDescent="0.2">
      <c r="A19" s="336" t="s">
        <v>39</v>
      </c>
      <c r="B19" s="337">
        <f>(1-Assumptions!C22)</f>
        <v>0.95</v>
      </c>
      <c r="C19" s="338"/>
      <c r="D19" s="339"/>
      <c r="E19" s="339"/>
      <c r="F19" s="339"/>
      <c r="G19" s="94"/>
      <c r="H19" s="94"/>
      <c r="I19" s="94"/>
      <c r="J19" s="95"/>
      <c r="K19" s="95"/>
      <c r="L19" s="95"/>
      <c r="M19" s="95"/>
    </row>
    <row r="20" spans="1:16" ht="18" customHeight="1" x14ac:dyDescent="0.15">
      <c r="A20" s="340" t="s">
        <v>0</v>
      </c>
      <c r="B20" s="341"/>
      <c r="C20" s="342"/>
      <c r="D20" s="342"/>
      <c r="E20" s="342"/>
      <c r="F20" s="342"/>
      <c r="G20" s="98"/>
      <c r="H20" s="98"/>
      <c r="I20" s="98"/>
      <c r="J20" s="99"/>
      <c r="K20" s="99"/>
      <c r="L20" s="99"/>
      <c r="M20" s="99"/>
    </row>
    <row r="21" spans="1:16" ht="14.25" customHeight="1" x14ac:dyDescent="0.15">
      <c r="A21" s="330" t="s">
        <v>87</v>
      </c>
      <c r="B21" s="327"/>
      <c r="C21" s="343"/>
      <c r="D21" s="343"/>
      <c r="E21" s="343"/>
      <c r="F21" s="343">
        <f>F16*$B$17*F18*12*$B$19</f>
        <v>2541649.9132660995</v>
      </c>
      <c r="G21" s="100">
        <f t="shared" ref="G21:M21" si="7">G16*$B$17*G18*12*$B$19</f>
        <v>2592482.9115314218</v>
      </c>
      <c r="H21" s="100">
        <f t="shared" si="7"/>
        <v>3554809.281039089</v>
      </c>
      <c r="I21" s="100">
        <f t="shared" si="7"/>
        <v>6990647.7532198988</v>
      </c>
      <c r="J21" s="101">
        <f t="shared" si="7"/>
        <v>7130460.7082842961</v>
      </c>
      <c r="K21" s="101">
        <f t="shared" si="7"/>
        <v>7273069.9224499837</v>
      </c>
      <c r="L21" s="101">
        <f t="shared" si="7"/>
        <v>8328984.2099907706</v>
      </c>
      <c r="M21" s="101">
        <f t="shared" si="7"/>
        <v>8495563.8941905871</v>
      </c>
    </row>
    <row r="22" spans="1:16" ht="14.25" customHeight="1" x14ac:dyDescent="0.15">
      <c r="A22" s="330" t="s">
        <v>182</v>
      </c>
      <c r="B22" s="331">
        <f>Assumptions!C21</f>
        <v>0.3</v>
      </c>
      <c r="C22" s="343"/>
      <c r="D22" s="343"/>
      <c r="E22" s="343"/>
      <c r="F22" s="343">
        <f>$B$22*F21</f>
        <v>762494.97397982981</v>
      </c>
      <c r="G22" s="100">
        <f t="shared" ref="G22:M22" si="8">$B$22*G21</f>
        <v>777744.87345942657</v>
      </c>
      <c r="H22" s="100">
        <f t="shared" si="8"/>
        <v>1066442.7843117267</v>
      </c>
      <c r="I22" s="100">
        <f t="shared" si="8"/>
        <v>2097194.3259659694</v>
      </c>
      <c r="J22" s="101">
        <f t="shared" si="8"/>
        <v>2139138.2124852887</v>
      </c>
      <c r="K22" s="101">
        <f t="shared" si="8"/>
        <v>2181920.9767349949</v>
      </c>
      <c r="L22" s="101">
        <f t="shared" si="8"/>
        <v>2498695.262997231</v>
      </c>
      <c r="M22" s="101">
        <f t="shared" si="8"/>
        <v>2548669.1682571759</v>
      </c>
    </row>
    <row r="23" spans="1:16" ht="14.25" customHeight="1" thickBot="1" x14ac:dyDescent="0.2">
      <c r="A23" s="344" t="s">
        <v>5</v>
      </c>
      <c r="B23" s="339"/>
      <c r="C23" s="345"/>
      <c r="D23" s="346">
        <f t="shared" ref="D23:E23" si="9">D21-D22</f>
        <v>0</v>
      </c>
      <c r="E23" s="346">
        <f t="shared" si="9"/>
        <v>0</v>
      </c>
      <c r="F23" s="346">
        <f>F21-F22</f>
        <v>1779154.9392862697</v>
      </c>
      <c r="G23" s="102">
        <f t="shared" ref="G23:M23" si="10">G21-G22</f>
        <v>1814738.0380719951</v>
      </c>
      <c r="H23" s="102">
        <f t="shared" si="10"/>
        <v>2488366.4967273623</v>
      </c>
      <c r="I23" s="102">
        <f t="shared" si="10"/>
        <v>4893453.4272539299</v>
      </c>
      <c r="J23" s="103">
        <f t="shared" si="10"/>
        <v>4991322.4957990069</v>
      </c>
      <c r="K23" s="103">
        <f t="shared" si="10"/>
        <v>5091148.9457149887</v>
      </c>
      <c r="L23" s="103">
        <f t="shared" si="10"/>
        <v>5830288.9469935391</v>
      </c>
      <c r="M23" s="103">
        <f t="shared" si="10"/>
        <v>5946894.7259334112</v>
      </c>
    </row>
    <row r="24" spans="1:16" ht="18" customHeight="1" x14ac:dyDescent="0.15">
      <c r="A24" s="340" t="s">
        <v>2</v>
      </c>
      <c r="B24" s="341"/>
      <c r="C24" s="343"/>
      <c r="D24" s="343"/>
      <c r="E24" s="343"/>
      <c r="F24" s="343"/>
      <c r="G24" s="100"/>
      <c r="H24" s="100"/>
      <c r="I24" s="100"/>
      <c r="J24" s="101"/>
      <c r="K24" s="101"/>
      <c r="L24" s="101"/>
      <c r="M24" s="101"/>
    </row>
    <row r="25" spans="1:16" ht="14.25" customHeight="1" x14ac:dyDescent="0.15">
      <c r="A25" s="330" t="s">
        <v>187</v>
      </c>
      <c r="B25" s="289"/>
      <c r="C25" s="343"/>
      <c r="D25" s="347">
        <f>0.35*200</f>
        <v>70</v>
      </c>
      <c r="E25" s="347">
        <f>D25*(1+$B$11)</f>
        <v>71.400000000000006</v>
      </c>
      <c r="F25" s="347">
        <f t="shared" ref="F25:M25" si="11">E25*(1+$B$11)</f>
        <v>72.828000000000003</v>
      </c>
      <c r="G25" s="92">
        <f t="shared" si="11"/>
        <v>74.284559999999999</v>
      </c>
      <c r="H25" s="92">
        <f t="shared" si="11"/>
        <v>75.770251200000004</v>
      </c>
      <c r="I25" s="92">
        <f t="shared" si="11"/>
        <v>77.285656224000007</v>
      </c>
      <c r="J25" s="93">
        <f t="shared" si="11"/>
        <v>78.83136934848001</v>
      </c>
      <c r="K25" s="93">
        <f t="shared" si="11"/>
        <v>80.407996735449615</v>
      </c>
      <c r="L25" s="93">
        <f t="shared" si="11"/>
        <v>82.016156670158608</v>
      </c>
      <c r="M25" s="93">
        <f t="shared" si="11"/>
        <v>83.65647980356178</v>
      </c>
    </row>
    <row r="26" spans="1:16" ht="14.25" customHeight="1" x14ac:dyDescent="0.15">
      <c r="A26" s="330" t="s">
        <v>188</v>
      </c>
      <c r="B26" s="327"/>
      <c r="C26" s="343"/>
      <c r="D26" s="343">
        <f>-D12*D25</f>
        <v>-7693861.2456812588</v>
      </c>
      <c r="E26" s="343">
        <f t="shared" ref="E26:M26" si="12">-E12*E25</f>
        <v>-7847738.4705948848</v>
      </c>
      <c r="F26" s="343">
        <f t="shared" si="12"/>
        <v>0</v>
      </c>
      <c r="G26" s="100">
        <f t="shared" si="12"/>
        <v>-4979192.8672986813</v>
      </c>
      <c r="H26" s="100">
        <f t="shared" si="12"/>
        <v>-5078776.7246446554</v>
      </c>
      <c r="I26" s="100">
        <f t="shared" si="12"/>
        <v>0</v>
      </c>
      <c r="J26" s="101">
        <f t="shared" si="12"/>
        <v>-4806648.3266864447</v>
      </c>
      <c r="K26" s="101">
        <f t="shared" si="12"/>
        <v>-4902781.2932201736</v>
      </c>
      <c r="L26" s="101">
        <f t="shared" si="12"/>
        <v>0</v>
      </c>
      <c r="M26" s="101">
        <f t="shared" si="12"/>
        <v>0</v>
      </c>
      <c r="P26" s="199"/>
    </row>
    <row r="27" spans="1:16" ht="14.25" customHeight="1" x14ac:dyDescent="0.15">
      <c r="A27" s="330" t="s">
        <v>14</v>
      </c>
      <c r="B27" s="331">
        <v>0.11</v>
      </c>
      <c r="C27" s="343">
        <f>$B$27*SUM($C$26:$E$26)/3</f>
        <v>-569858.65626345854</v>
      </c>
      <c r="D27" s="343">
        <f t="shared" ref="D27:E27" si="13">$B$27*SUM($C$26:$E$26)/3</f>
        <v>-569858.65626345854</v>
      </c>
      <c r="E27" s="343">
        <f t="shared" si="13"/>
        <v>-569858.65626345854</v>
      </c>
      <c r="F27" s="343">
        <f>$B$27*SUM($G$26:$I$26)/3</f>
        <v>-368792.21837125573</v>
      </c>
      <c r="G27" s="100">
        <f t="shared" ref="G27:H27" si="14">$B$27*SUM($G$26:$I$26)/3</f>
        <v>-368792.21837125573</v>
      </c>
      <c r="H27" s="100">
        <f t="shared" si="14"/>
        <v>-368792.21837125573</v>
      </c>
      <c r="I27" s="100">
        <f>$B$27*SUM($J$26:$L$26)/3</f>
        <v>-356012.41939657601</v>
      </c>
      <c r="J27" s="101">
        <f t="shared" ref="J27:K27" si="15">$B$27*SUM($J$26:$L$26)/3</f>
        <v>-356012.41939657601</v>
      </c>
      <c r="K27" s="101">
        <f t="shared" si="15"/>
        <v>-356012.41939657601</v>
      </c>
      <c r="L27" s="101"/>
      <c r="M27" s="101"/>
      <c r="P27" s="199"/>
    </row>
    <row r="28" spans="1:16" ht="14.25" customHeight="1" thickBot="1" x14ac:dyDescent="0.2">
      <c r="A28" s="344" t="s">
        <v>3</v>
      </c>
      <c r="B28" s="348"/>
      <c r="C28" s="346">
        <f>SUM(C26:C27)</f>
        <v>-569858.65626345854</v>
      </c>
      <c r="D28" s="346">
        <f t="shared" ref="D28:M28" si="16">D26+D27</f>
        <v>-8263719.9019447174</v>
      </c>
      <c r="E28" s="346">
        <f t="shared" si="16"/>
        <v>-8417597.1268583424</v>
      </c>
      <c r="F28" s="346">
        <f t="shared" si="16"/>
        <v>-368792.21837125573</v>
      </c>
      <c r="G28" s="102">
        <f t="shared" si="16"/>
        <v>-5347985.0856699366</v>
      </c>
      <c r="H28" s="102">
        <f t="shared" si="16"/>
        <v>-5447568.9430159107</v>
      </c>
      <c r="I28" s="102">
        <f t="shared" si="16"/>
        <v>-356012.41939657601</v>
      </c>
      <c r="J28" s="103">
        <f t="shared" si="16"/>
        <v>-5162660.7460830212</v>
      </c>
      <c r="K28" s="103">
        <f t="shared" si="16"/>
        <v>-5258793.7126167491</v>
      </c>
      <c r="L28" s="103">
        <f t="shared" si="16"/>
        <v>0</v>
      </c>
      <c r="M28" s="103">
        <f t="shared" si="16"/>
        <v>0</v>
      </c>
    </row>
    <row r="29" spans="1:16" ht="18" customHeight="1" x14ac:dyDescent="0.15">
      <c r="A29" s="340" t="s">
        <v>4</v>
      </c>
      <c r="B29" s="341"/>
      <c r="C29" s="342"/>
      <c r="D29" s="342"/>
      <c r="E29" s="342"/>
      <c r="F29" s="342"/>
      <c r="G29" s="98"/>
      <c r="H29" s="98"/>
      <c r="I29" s="98"/>
      <c r="J29" s="99"/>
      <c r="K29" s="99"/>
      <c r="L29" s="99"/>
      <c r="M29" s="99"/>
    </row>
    <row r="30" spans="1:16" ht="14.25" customHeight="1" x14ac:dyDescent="0.15">
      <c r="A30" s="330" t="s">
        <v>5</v>
      </c>
      <c r="B30" s="327"/>
      <c r="C30" s="343"/>
      <c r="D30" s="343"/>
      <c r="E30" s="343"/>
      <c r="F30" s="343">
        <f t="shared" ref="F30:M30" si="17">F23</f>
        <v>1779154.9392862697</v>
      </c>
      <c r="G30" s="100">
        <f t="shared" si="17"/>
        <v>1814738.0380719951</v>
      </c>
      <c r="H30" s="100">
        <f t="shared" si="17"/>
        <v>2488366.4967273623</v>
      </c>
      <c r="I30" s="100">
        <f t="shared" si="17"/>
        <v>4893453.4272539299</v>
      </c>
      <c r="J30" s="101">
        <f t="shared" si="17"/>
        <v>4991322.4957990069</v>
      </c>
      <c r="K30" s="101">
        <f t="shared" si="17"/>
        <v>5091148.9457149887</v>
      </c>
      <c r="L30" s="101">
        <f t="shared" si="17"/>
        <v>5830288.9469935391</v>
      </c>
      <c r="M30" s="101">
        <f t="shared" si="17"/>
        <v>5946894.7259334112</v>
      </c>
    </row>
    <row r="31" spans="1:16" ht="14.25" customHeight="1" x14ac:dyDescent="0.15">
      <c r="A31" s="330" t="s">
        <v>70</v>
      </c>
      <c r="B31" s="331"/>
      <c r="C31" s="343"/>
      <c r="D31" s="343"/>
      <c r="E31" s="343"/>
      <c r="F31" s="343">
        <f>F30/Assumptions!$C$25</f>
        <v>32348271.623386722</v>
      </c>
      <c r="G31" s="100">
        <f>G30/Assumptions!$C$25</f>
        <v>32995237.055854458</v>
      </c>
      <c r="H31" s="100">
        <f>H30/Assumptions!$C$25</f>
        <v>45243027.213224769</v>
      </c>
      <c r="I31" s="100">
        <f>I30/Assumptions!$C$25</f>
        <v>88971880.495526001</v>
      </c>
      <c r="J31" s="101">
        <f>J30/Assumptions!$C$25</f>
        <v>90751318.105436489</v>
      </c>
      <c r="K31" s="101">
        <f>K30/Assumptions!$C$25</f>
        <v>92566344.467545256</v>
      </c>
      <c r="L31" s="101">
        <f>L30/Assumptions!$C$25</f>
        <v>106005253.58170071</v>
      </c>
      <c r="M31" s="101">
        <f>M30/Assumptions!$C$25</f>
        <v>108125358.65333475</v>
      </c>
    </row>
    <row r="32" spans="1:16" ht="14.25" customHeight="1" x14ac:dyDescent="0.15">
      <c r="A32" s="330" t="s">
        <v>71</v>
      </c>
      <c r="B32" s="331">
        <f>Assumptions!C24</f>
        <v>0.03</v>
      </c>
      <c r="C32" s="343"/>
      <c r="D32" s="343"/>
      <c r="E32" s="343"/>
      <c r="F32" s="343"/>
      <c r="G32" s="100"/>
      <c r="H32" s="100"/>
      <c r="I32" s="100"/>
      <c r="J32" s="101"/>
      <c r="K32" s="101"/>
      <c r="L32" s="101"/>
      <c r="M32" s="101">
        <f>-B32*M31</f>
        <v>-3243760.7596000424</v>
      </c>
    </row>
    <row r="33" spans="1:13" ht="14.25" customHeight="1" thickBot="1" x14ac:dyDescent="0.2">
      <c r="A33" s="344" t="s">
        <v>183</v>
      </c>
      <c r="B33" s="339"/>
      <c r="C33" s="345"/>
      <c r="D33" s="345"/>
      <c r="E33" s="345"/>
      <c r="F33" s="346">
        <f>F23+F28</f>
        <v>1410362.7209150139</v>
      </c>
      <c r="G33" s="102">
        <f t="shared" ref="G33:L33" si="18">G23+G28</f>
        <v>-3533247.0475979415</v>
      </c>
      <c r="H33" s="102">
        <f t="shared" si="18"/>
        <v>-2959202.4462885484</v>
      </c>
      <c r="I33" s="102">
        <f t="shared" si="18"/>
        <v>4537441.0078573544</v>
      </c>
      <c r="J33" s="103">
        <f t="shared" si="18"/>
        <v>-171338.25028401427</v>
      </c>
      <c r="K33" s="103">
        <f t="shared" si="18"/>
        <v>-167644.76690176036</v>
      </c>
      <c r="L33" s="103">
        <f t="shared" si="18"/>
        <v>5830288.9469935391</v>
      </c>
      <c r="M33" s="103">
        <f t="shared" ref="M33" si="19">SUM(M30:M32)</f>
        <v>110828492.61966813</v>
      </c>
    </row>
    <row r="34" spans="1:13" ht="18" customHeight="1" x14ac:dyDescent="0.15">
      <c r="A34" s="340" t="s">
        <v>6</v>
      </c>
      <c r="B34" s="327"/>
      <c r="C34" s="343">
        <f>C33+C28</f>
        <v>-569858.65626345854</v>
      </c>
      <c r="D34" s="343">
        <f>D33+D28</f>
        <v>-8263719.9019447174</v>
      </c>
      <c r="E34" s="343">
        <f t="shared" ref="E34:M34" si="20">E33+E28</f>
        <v>-8417597.1268583424</v>
      </c>
      <c r="F34" s="343">
        <f t="shared" si="20"/>
        <v>1041570.5025437581</v>
      </c>
      <c r="G34" s="100">
        <f t="shared" si="20"/>
        <v>-8881232.1332678776</v>
      </c>
      <c r="H34" s="100">
        <f t="shared" si="20"/>
        <v>-8406771.3893044591</v>
      </c>
      <c r="I34" s="100">
        <f t="shared" si="20"/>
        <v>4181428.5884607784</v>
      </c>
      <c r="J34" s="101">
        <f t="shared" si="20"/>
        <v>-5333998.9963670354</v>
      </c>
      <c r="K34" s="101">
        <f t="shared" si="20"/>
        <v>-5426438.4795185095</v>
      </c>
      <c r="L34" s="101">
        <f t="shared" si="20"/>
        <v>5830288.9469935391</v>
      </c>
      <c r="M34" s="101">
        <f t="shared" si="20"/>
        <v>110828492.61966813</v>
      </c>
    </row>
    <row r="35" spans="1:13" ht="18" customHeight="1" x14ac:dyDescent="0.15">
      <c r="A35" s="329" t="s">
        <v>20</v>
      </c>
      <c r="B35" s="349">
        <f>C34+NPV(Assumptions!$F$40,D34:M34)</f>
        <v>16751021.744969238</v>
      </c>
      <c r="C35" s="331"/>
      <c r="D35" s="327"/>
      <c r="E35" s="327"/>
      <c r="F35" s="347"/>
      <c r="G35" s="92"/>
      <c r="H35" s="92"/>
      <c r="I35" s="92"/>
      <c r="J35" s="93"/>
      <c r="K35" s="93"/>
      <c r="L35" s="93"/>
      <c r="M35" s="93"/>
    </row>
    <row r="36" spans="1:13" ht="18" customHeight="1" x14ac:dyDescent="0.15">
      <c r="A36" s="329" t="s">
        <v>72</v>
      </c>
      <c r="B36" s="331">
        <f>IRR(C34:M34)</f>
        <v>0.17761275449703628</v>
      </c>
      <c r="C36" s="327"/>
      <c r="D36" s="327"/>
      <c r="E36" s="327"/>
      <c r="F36" s="347"/>
      <c r="G36" s="92"/>
      <c r="H36" s="92"/>
      <c r="I36" s="92"/>
      <c r="J36" s="93"/>
      <c r="K36" s="93"/>
      <c r="L36" s="93"/>
      <c r="M36" s="93"/>
    </row>
    <row r="37" spans="1:13" ht="18" customHeight="1" x14ac:dyDescent="0.15">
      <c r="A37" s="329"/>
      <c r="B37" s="327"/>
      <c r="C37" s="327"/>
      <c r="D37" s="327"/>
      <c r="E37" s="327"/>
      <c r="F37" s="347"/>
      <c r="G37" s="92"/>
      <c r="H37" s="92"/>
      <c r="I37" s="92"/>
      <c r="J37" s="93"/>
      <c r="K37" s="93"/>
      <c r="L37" s="93"/>
      <c r="M37" s="93"/>
    </row>
    <row r="39" spans="1:13" x14ac:dyDescent="0.15">
      <c r="A39" s="1" t="s">
        <v>214</v>
      </c>
    </row>
  </sheetData>
  <pageMargins left="0.5" right="0.5" top="1" bottom="0.5" header="0.5" footer="0.5"/>
  <pageSetup orientation="landscape" r:id="rId1"/>
  <headerFooter alignWithMargins="0">
    <oddHeader>&amp;L&amp;"Arial,Bold"2. Income Statement: Market-rate Rental Housing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940DB-8C4B-4985-9AB3-9411387AD048}">
  <dimension ref="A1:O36"/>
  <sheetViews>
    <sheetView zoomScaleNormal="100" workbookViewId="0">
      <selection activeCell="L1" sqref="L1:M1"/>
    </sheetView>
  </sheetViews>
  <sheetFormatPr baseColWidth="10" defaultColWidth="9.1640625" defaultRowHeight="13" x14ac:dyDescent="0.15"/>
  <cols>
    <col min="1" max="1" width="23.33203125" style="1" customWidth="1"/>
    <col min="2" max="2" width="12.33203125" style="3" bestFit="1" customWidth="1"/>
    <col min="3" max="3" width="11.83203125" style="3" bestFit="1" customWidth="1"/>
    <col min="4" max="5" width="9.5" style="1" bestFit="1" customWidth="1"/>
    <col min="6" max="8" width="10.6640625" style="1" bestFit="1" customWidth="1"/>
    <col min="9" max="9" width="11.5" style="1" bestFit="1" customWidth="1"/>
    <col min="10" max="11" width="10.6640625" style="1" bestFit="1" customWidth="1"/>
    <col min="12" max="13" width="11.5" style="1" bestFit="1" customWidth="1"/>
    <col min="14" max="14" width="9.1640625" style="1"/>
    <col min="15" max="15" width="9.5" style="1" bestFit="1" customWidth="1"/>
    <col min="16" max="16384" width="9.1640625" style="1"/>
  </cols>
  <sheetData>
    <row r="1" spans="1:13" ht="14.25" customHeight="1" thickBot="1" x14ac:dyDescent="0.2">
      <c r="A1" s="350" t="s">
        <v>138</v>
      </c>
      <c r="B1" s="352" t="s">
        <v>35</v>
      </c>
      <c r="C1" s="70" t="s">
        <v>153</v>
      </c>
      <c r="D1" s="71" t="s">
        <v>154</v>
      </c>
      <c r="E1" s="78" t="s">
        <v>28</v>
      </c>
      <c r="F1" s="288"/>
      <c r="G1" s="288"/>
      <c r="H1" s="288"/>
      <c r="I1" s="288"/>
      <c r="J1" s="288"/>
      <c r="K1" s="288"/>
      <c r="L1" s="214" t="s">
        <v>46</v>
      </c>
      <c r="M1" s="215">
        <v>199991</v>
      </c>
    </row>
    <row r="2" spans="1:13" ht="14.25" customHeight="1" x14ac:dyDescent="0.15">
      <c r="A2" s="353"/>
      <c r="B2" s="354" t="s">
        <v>110</v>
      </c>
      <c r="C2" s="72" t="s">
        <v>110</v>
      </c>
      <c r="D2" s="73" t="s">
        <v>110</v>
      </c>
      <c r="E2" s="80" t="s">
        <v>110</v>
      </c>
      <c r="F2" s="288"/>
      <c r="G2" s="288"/>
      <c r="H2" s="288"/>
      <c r="I2" s="288"/>
      <c r="J2" s="288"/>
      <c r="K2" s="288"/>
      <c r="L2" s="363"/>
      <c r="M2" s="364"/>
    </row>
    <row r="3" spans="1:13" ht="14.25" customHeight="1" thickBot="1" x14ac:dyDescent="0.2">
      <c r="A3" s="355" t="s">
        <v>138</v>
      </c>
      <c r="B3" s="356">
        <f>Phasing!C15</f>
        <v>416910.97499999998</v>
      </c>
      <c r="C3" s="74">
        <f>Phasing!E15</f>
        <v>210386.47500000001</v>
      </c>
      <c r="D3" s="75">
        <f>Phasing!G15</f>
        <v>176732.85</v>
      </c>
      <c r="E3" s="106">
        <f>B3+C3+D3</f>
        <v>804030.29999999993</v>
      </c>
      <c r="F3" s="288"/>
      <c r="G3" s="288"/>
      <c r="H3" s="288"/>
      <c r="I3" s="288"/>
      <c r="J3" s="288"/>
      <c r="K3" s="288"/>
      <c r="L3" s="363"/>
      <c r="M3" s="364"/>
    </row>
    <row r="4" spans="1:13" ht="14.25" customHeight="1" thickBot="1" x14ac:dyDescent="0.2">
      <c r="A4" s="357" t="s">
        <v>179</v>
      </c>
      <c r="B4" s="359">
        <f>SUM(B3:B3)</f>
        <v>416910.97499999998</v>
      </c>
      <c r="C4" s="76">
        <f>SUM(C3:C3)</f>
        <v>210386.47500000001</v>
      </c>
      <c r="D4" s="77">
        <f>SUM(D3:D3)</f>
        <v>176732.85</v>
      </c>
      <c r="E4" s="106">
        <f>SUM(E3:E3)</f>
        <v>804030.29999999993</v>
      </c>
      <c r="F4" s="288"/>
      <c r="G4" s="288"/>
      <c r="H4" s="288"/>
      <c r="I4" s="288"/>
      <c r="J4" s="288"/>
      <c r="K4" s="288"/>
      <c r="L4" s="363"/>
      <c r="M4" s="364"/>
    </row>
    <row r="5" spans="1:13" ht="14.25" customHeight="1" x14ac:dyDescent="0.15">
      <c r="A5" s="288"/>
      <c r="B5" s="289"/>
      <c r="C5" s="289"/>
      <c r="D5" s="288"/>
      <c r="E5" s="288"/>
      <c r="F5" s="288"/>
      <c r="G5" s="288"/>
      <c r="H5" s="288"/>
      <c r="I5" s="288"/>
      <c r="J5" s="288"/>
      <c r="K5" s="288"/>
      <c r="L5" s="288"/>
      <c r="M5" s="288"/>
    </row>
    <row r="6" spans="1:13" ht="14.25" customHeight="1" x14ac:dyDescent="0.15">
      <c r="A6" s="326"/>
      <c r="B6" s="327"/>
      <c r="C6" s="327" t="s">
        <v>68</v>
      </c>
      <c r="D6" s="328" t="s">
        <v>35</v>
      </c>
      <c r="E6" s="327"/>
      <c r="F6" s="327"/>
      <c r="G6" s="88" t="s">
        <v>153</v>
      </c>
      <c r="H6" s="88"/>
      <c r="I6" s="88"/>
      <c r="J6" s="89" t="s">
        <v>154</v>
      </c>
      <c r="K6" s="89"/>
      <c r="L6" s="89"/>
      <c r="M6" s="89"/>
    </row>
    <row r="7" spans="1:13" ht="14.25" customHeight="1" x14ac:dyDescent="0.15">
      <c r="A7" s="326"/>
      <c r="B7" s="328" t="s">
        <v>19</v>
      </c>
      <c r="C7" s="328" t="s">
        <v>88</v>
      </c>
      <c r="D7" s="328">
        <v>2021</v>
      </c>
      <c r="E7" s="328">
        <f>D7+1</f>
        <v>2022</v>
      </c>
      <c r="F7" s="328">
        <f t="shared" ref="F7:M7" si="0">E7+1</f>
        <v>2023</v>
      </c>
      <c r="G7" s="88">
        <f t="shared" si="0"/>
        <v>2024</v>
      </c>
      <c r="H7" s="88">
        <f t="shared" si="0"/>
        <v>2025</v>
      </c>
      <c r="I7" s="88">
        <f t="shared" si="0"/>
        <v>2026</v>
      </c>
      <c r="J7" s="89">
        <f t="shared" si="0"/>
        <v>2027</v>
      </c>
      <c r="K7" s="89">
        <f t="shared" si="0"/>
        <v>2028</v>
      </c>
      <c r="L7" s="89">
        <f t="shared" si="0"/>
        <v>2029</v>
      </c>
      <c r="M7" s="89">
        <f t="shared" si="0"/>
        <v>2030</v>
      </c>
    </row>
    <row r="8" spans="1:13" ht="18" customHeight="1" x14ac:dyDescent="0.15">
      <c r="A8" s="329" t="s">
        <v>11</v>
      </c>
      <c r="B8" s="327"/>
      <c r="C8" s="327"/>
      <c r="D8" s="327"/>
      <c r="E8" s="327"/>
      <c r="F8" s="327"/>
      <c r="G8" s="88"/>
      <c r="H8" s="88"/>
      <c r="I8" s="88"/>
      <c r="J8" s="89"/>
      <c r="K8" s="89"/>
      <c r="L8" s="89"/>
      <c r="M8" s="89"/>
    </row>
    <row r="9" spans="1:13" x14ac:dyDescent="0.15">
      <c r="A9" s="303" t="s">
        <v>12</v>
      </c>
      <c r="B9" s="331">
        <v>0.02</v>
      </c>
      <c r="C9" s="331"/>
      <c r="D9" s="332"/>
      <c r="E9" s="332"/>
      <c r="F9" s="332"/>
      <c r="G9" s="88"/>
      <c r="H9" s="88"/>
      <c r="I9" s="88"/>
      <c r="J9" s="89"/>
      <c r="K9" s="89"/>
      <c r="L9" s="89"/>
      <c r="M9" s="89"/>
    </row>
    <row r="10" spans="1:13" x14ac:dyDescent="0.15">
      <c r="A10" s="330" t="s">
        <v>186</v>
      </c>
      <c r="B10" s="331"/>
      <c r="C10" s="331"/>
      <c r="D10" s="333">
        <f>D12*Assumptions!$V$15</f>
        <v>233636.95344622867</v>
      </c>
      <c r="E10" s="333">
        <f>E12*Assumptions!$V$15</f>
        <v>233636.95344622867</v>
      </c>
      <c r="F10" s="333">
        <f>F12*Assumptions!$V$15</f>
        <v>0</v>
      </c>
      <c r="G10" s="90">
        <f>G12*Assumptions!$V$15</f>
        <v>117900.60231753592</v>
      </c>
      <c r="H10" s="90">
        <f>H12*Assumptions!$V$15</f>
        <v>117900.60231753592</v>
      </c>
      <c r="I10" s="90">
        <f>I12*Assumptions!$V$15</f>
        <v>0</v>
      </c>
      <c r="J10" s="87">
        <f>J12*Assumptions!$V$15</f>
        <v>99041.107391978148</v>
      </c>
      <c r="K10" s="87">
        <f>K12*Assumptions!$V$15</f>
        <v>99041.107391978148</v>
      </c>
      <c r="L10" s="266">
        <f>L12*Assumptions!$V$15</f>
        <v>0</v>
      </c>
      <c r="M10" s="266">
        <f>M12*Assumptions!$V$15</f>
        <v>0</v>
      </c>
    </row>
    <row r="11" spans="1:13" x14ac:dyDescent="0.15">
      <c r="A11" s="330" t="s">
        <v>190</v>
      </c>
      <c r="B11" s="331"/>
      <c r="C11" s="331"/>
      <c r="D11" s="333">
        <f>D10</f>
        <v>233636.95344622867</v>
      </c>
      <c r="E11" s="333">
        <f>D11+E10</f>
        <v>467273.90689245734</v>
      </c>
      <c r="F11" s="333">
        <f t="shared" ref="F11:M11" si="1">E11+F10</f>
        <v>467273.90689245734</v>
      </c>
      <c r="G11" s="90">
        <f t="shared" si="1"/>
        <v>585174.5092099933</v>
      </c>
      <c r="H11" s="90">
        <f t="shared" si="1"/>
        <v>703075.1115275292</v>
      </c>
      <c r="I11" s="90">
        <f t="shared" si="1"/>
        <v>703075.1115275292</v>
      </c>
      <c r="J11" s="87">
        <f t="shared" si="1"/>
        <v>802116.21891950734</v>
      </c>
      <c r="K11" s="87">
        <f t="shared" si="1"/>
        <v>901157.32631148549</v>
      </c>
      <c r="L11" s="87">
        <f t="shared" si="1"/>
        <v>901157.32631148549</v>
      </c>
      <c r="M11" s="87">
        <f t="shared" si="1"/>
        <v>901157.32631148549</v>
      </c>
    </row>
    <row r="12" spans="1:13" x14ac:dyDescent="0.15">
      <c r="A12" s="330" t="s">
        <v>289</v>
      </c>
      <c r="B12" s="331"/>
      <c r="C12" s="331"/>
      <c r="D12" s="333">
        <f>$B$3/2</f>
        <v>208455.48749999999</v>
      </c>
      <c r="E12" s="333">
        <f>$B$3/2</f>
        <v>208455.48749999999</v>
      </c>
      <c r="F12" s="333"/>
      <c r="G12" s="90">
        <f>$C$3/2</f>
        <v>105193.2375</v>
      </c>
      <c r="H12" s="90">
        <f>$C$3/2</f>
        <v>105193.2375</v>
      </c>
      <c r="I12" s="90"/>
      <c r="J12" s="87">
        <f>$D$3/2</f>
        <v>88366.425000000003</v>
      </c>
      <c r="K12" s="87">
        <f>$D$3/2</f>
        <v>88366.425000000003</v>
      </c>
      <c r="L12" s="89"/>
      <c r="M12" s="89"/>
    </row>
    <row r="13" spans="1:13" x14ac:dyDescent="0.15">
      <c r="A13" s="330" t="s">
        <v>290</v>
      </c>
      <c r="B13" s="331"/>
      <c r="C13" s="331"/>
      <c r="D13" s="333">
        <f>D12</f>
        <v>208455.48749999999</v>
      </c>
      <c r="E13" s="333">
        <f>D13+E12</f>
        <v>416910.97499999998</v>
      </c>
      <c r="F13" s="333">
        <f t="shared" ref="F13:M13" si="2">E13+F12</f>
        <v>416910.97499999998</v>
      </c>
      <c r="G13" s="90">
        <f t="shared" si="2"/>
        <v>522104.21249999997</v>
      </c>
      <c r="H13" s="90">
        <f t="shared" si="2"/>
        <v>627297.44999999995</v>
      </c>
      <c r="I13" s="90">
        <f t="shared" si="2"/>
        <v>627297.44999999995</v>
      </c>
      <c r="J13" s="87">
        <f t="shared" si="2"/>
        <v>715663.875</v>
      </c>
      <c r="K13" s="87">
        <f t="shared" si="2"/>
        <v>804030.3</v>
      </c>
      <c r="L13" s="87">
        <f t="shared" si="2"/>
        <v>804030.3</v>
      </c>
      <c r="M13" s="87">
        <f t="shared" si="2"/>
        <v>804030.3</v>
      </c>
    </row>
    <row r="14" spans="1:13" x14ac:dyDescent="0.15">
      <c r="A14" s="303" t="s">
        <v>189</v>
      </c>
      <c r="B14" s="331"/>
      <c r="C14" s="331"/>
      <c r="D14" s="333"/>
      <c r="E14" s="333"/>
      <c r="F14" s="333">
        <f>B3-Phasing!G32</f>
        <v>206524.49999999997</v>
      </c>
      <c r="G14" s="90">
        <f>F14</f>
        <v>206524.49999999997</v>
      </c>
      <c r="H14" s="90">
        <f>G14+Phasing!G32</f>
        <v>416910.97499999998</v>
      </c>
      <c r="I14" s="90">
        <f>H14+C3</f>
        <v>627297.44999999995</v>
      </c>
      <c r="J14" s="87">
        <f>I14</f>
        <v>627297.44999999995</v>
      </c>
      <c r="K14" s="87">
        <f>J14</f>
        <v>627297.44999999995</v>
      </c>
      <c r="L14" s="87">
        <f>K14+D3</f>
        <v>804030.29999999993</v>
      </c>
      <c r="M14" s="87">
        <f>L14</f>
        <v>804030.29999999993</v>
      </c>
    </row>
    <row r="15" spans="1:13" ht="14.25" customHeight="1" x14ac:dyDescent="0.15">
      <c r="A15" s="303" t="s">
        <v>45</v>
      </c>
      <c r="B15" s="331">
        <f>Assumptions!C33</f>
        <v>0.06</v>
      </c>
      <c r="C15" s="327"/>
      <c r="D15" s="327"/>
      <c r="E15" s="327"/>
      <c r="F15" s="327"/>
      <c r="G15" s="88"/>
      <c r="H15" s="88"/>
      <c r="I15" s="88"/>
      <c r="J15" s="89"/>
      <c r="K15" s="89"/>
      <c r="L15" s="89"/>
      <c r="M15" s="89"/>
    </row>
    <row r="16" spans="1:13" ht="14.25" customHeight="1" thickBot="1" x14ac:dyDescent="0.2">
      <c r="A16" s="360" t="s">
        <v>137</v>
      </c>
      <c r="B16" s="361"/>
      <c r="C16" s="361"/>
      <c r="D16" s="361">
        <f>Assumptions!C30</f>
        <v>30</v>
      </c>
      <c r="E16" s="361">
        <f t="shared" ref="E16:M16" si="3">D16*(1+$B$9)</f>
        <v>30.6</v>
      </c>
      <c r="F16" s="362">
        <f t="shared" si="3"/>
        <v>31.212000000000003</v>
      </c>
      <c r="G16" s="107">
        <f t="shared" si="3"/>
        <v>31.836240000000004</v>
      </c>
      <c r="H16" s="107">
        <f t="shared" si="3"/>
        <v>32.472964800000007</v>
      </c>
      <c r="I16" s="107">
        <f t="shared" si="3"/>
        <v>33.12242409600001</v>
      </c>
      <c r="J16" s="108">
        <f t="shared" si="3"/>
        <v>33.784872577920012</v>
      </c>
      <c r="K16" s="108">
        <f t="shared" si="3"/>
        <v>34.460570029478411</v>
      </c>
      <c r="L16" s="108">
        <f t="shared" si="3"/>
        <v>35.149781430067982</v>
      </c>
      <c r="M16" s="108">
        <f t="shared" si="3"/>
        <v>35.852777058669339</v>
      </c>
    </row>
    <row r="17" spans="1:15" ht="18" customHeight="1" x14ac:dyDescent="0.15">
      <c r="A17" s="340" t="s">
        <v>0</v>
      </c>
      <c r="B17" s="341"/>
      <c r="C17" s="342"/>
      <c r="D17" s="342"/>
      <c r="E17" s="342"/>
      <c r="F17" s="342"/>
      <c r="G17" s="98"/>
      <c r="H17" s="98"/>
      <c r="I17" s="98"/>
      <c r="J17" s="99"/>
      <c r="K17" s="99"/>
      <c r="L17" s="99"/>
      <c r="M17" s="99"/>
    </row>
    <row r="18" spans="1:15" ht="14.25" customHeight="1" x14ac:dyDescent="0.15">
      <c r="A18" s="330" t="s">
        <v>87</v>
      </c>
      <c r="B18" s="327"/>
      <c r="C18" s="343"/>
      <c r="D18" s="343"/>
      <c r="E18" s="343"/>
      <c r="F18" s="343">
        <f>F14*F16*(1-$B$15)</f>
        <v>6059280.1323600002</v>
      </c>
      <c r="G18" s="100">
        <f t="shared" ref="G18:M18" si="4">G14*G16*(1-$B$15)</f>
        <v>6180465.7350071995</v>
      </c>
      <c r="H18" s="100">
        <f t="shared" si="4"/>
        <v>12726035.29095416</v>
      </c>
      <c r="I18" s="100">
        <f t="shared" si="4"/>
        <v>19530955.442844998</v>
      </c>
      <c r="J18" s="101">
        <f t="shared" si="4"/>
        <v>19921574.5517019</v>
      </c>
      <c r="K18" s="101">
        <f t="shared" si="4"/>
        <v>20320006.042735934</v>
      </c>
      <c r="L18" s="101">
        <f t="shared" si="4"/>
        <v>26565799.949662864</v>
      </c>
      <c r="M18" s="101">
        <f t="shared" si="4"/>
        <v>27097115.948656119</v>
      </c>
    </row>
    <row r="19" spans="1:15" ht="14.25" customHeight="1" x14ac:dyDescent="0.15">
      <c r="A19" s="330" t="s">
        <v>182</v>
      </c>
      <c r="B19" s="331">
        <f>Assumptions!C21</f>
        <v>0.3</v>
      </c>
      <c r="C19" s="343"/>
      <c r="D19" s="343"/>
      <c r="E19" s="343"/>
      <c r="F19" s="343">
        <f>$B$19*F18</f>
        <v>1817784.0397079999</v>
      </c>
      <c r="G19" s="100">
        <f t="shared" ref="G19:M19" si="5">$B$19*G18</f>
        <v>1854139.7205021598</v>
      </c>
      <c r="H19" s="100">
        <f t="shared" si="5"/>
        <v>3817810.5872862479</v>
      </c>
      <c r="I19" s="100">
        <f t="shared" si="5"/>
        <v>5859286.6328534996</v>
      </c>
      <c r="J19" s="101">
        <f t="shared" si="5"/>
        <v>5976472.3655105699</v>
      </c>
      <c r="K19" s="101">
        <f t="shared" si="5"/>
        <v>6096001.8128207801</v>
      </c>
      <c r="L19" s="101">
        <f t="shared" si="5"/>
        <v>7969739.9848988587</v>
      </c>
      <c r="M19" s="101">
        <f t="shared" si="5"/>
        <v>8129134.7845968353</v>
      </c>
    </row>
    <row r="20" spans="1:15" ht="14.25" customHeight="1" thickBot="1" x14ac:dyDescent="0.2">
      <c r="A20" s="344" t="s">
        <v>5</v>
      </c>
      <c r="B20" s="339"/>
      <c r="C20" s="345"/>
      <c r="D20" s="346">
        <f t="shared" ref="D20:E20" si="6">D18-D19</f>
        <v>0</v>
      </c>
      <c r="E20" s="346">
        <f t="shared" si="6"/>
        <v>0</v>
      </c>
      <c r="F20" s="346">
        <f>F18-F19</f>
        <v>4241496.0926520005</v>
      </c>
      <c r="G20" s="102">
        <f t="shared" ref="G20:M20" si="7">G18-G19</f>
        <v>4326326.0145050399</v>
      </c>
      <c r="H20" s="102">
        <f t="shared" si="7"/>
        <v>8908224.7036679126</v>
      </c>
      <c r="I20" s="102">
        <f t="shared" si="7"/>
        <v>13671668.809991498</v>
      </c>
      <c r="J20" s="103">
        <f t="shared" si="7"/>
        <v>13945102.18619133</v>
      </c>
      <c r="K20" s="103">
        <f t="shared" si="7"/>
        <v>14224004.229915153</v>
      </c>
      <c r="L20" s="103">
        <f t="shared" si="7"/>
        <v>18596059.964764006</v>
      </c>
      <c r="M20" s="103">
        <f t="shared" si="7"/>
        <v>18967981.164059285</v>
      </c>
    </row>
    <row r="21" spans="1:15" ht="18" customHeight="1" x14ac:dyDescent="0.15">
      <c r="A21" s="340" t="s">
        <v>2</v>
      </c>
      <c r="B21" s="341"/>
      <c r="C21" s="343"/>
      <c r="D21" s="343"/>
      <c r="E21" s="343"/>
      <c r="F21" s="343"/>
      <c r="G21" s="100"/>
      <c r="H21" s="100"/>
      <c r="I21" s="100"/>
      <c r="J21" s="101"/>
      <c r="K21" s="101"/>
      <c r="L21" s="101"/>
      <c r="M21" s="101"/>
    </row>
    <row r="22" spans="1:15" ht="14.25" customHeight="1" x14ac:dyDescent="0.15">
      <c r="A22" s="330" t="s">
        <v>187</v>
      </c>
      <c r="B22" s="289"/>
      <c r="C22" s="343"/>
      <c r="D22" s="347">
        <v>250</v>
      </c>
      <c r="E22" s="347">
        <f>D22*(1+$B$9)</f>
        <v>255</v>
      </c>
      <c r="F22" s="347">
        <f t="shared" ref="F22:M22" si="8">E22*(1+$B$9)</f>
        <v>260.10000000000002</v>
      </c>
      <c r="G22" s="92">
        <f t="shared" si="8"/>
        <v>265.30200000000002</v>
      </c>
      <c r="H22" s="92">
        <f t="shared" si="8"/>
        <v>270.60804000000002</v>
      </c>
      <c r="I22" s="92">
        <f t="shared" si="8"/>
        <v>276.0202008</v>
      </c>
      <c r="J22" s="93">
        <f t="shared" si="8"/>
        <v>281.54060481599998</v>
      </c>
      <c r="K22" s="93">
        <f t="shared" si="8"/>
        <v>287.17141691232001</v>
      </c>
      <c r="L22" s="93">
        <f t="shared" si="8"/>
        <v>292.91484525056643</v>
      </c>
      <c r="M22" s="93">
        <f t="shared" si="8"/>
        <v>298.77314215557777</v>
      </c>
    </row>
    <row r="23" spans="1:15" ht="14.25" customHeight="1" x14ac:dyDescent="0.15">
      <c r="A23" s="330" t="s">
        <v>188</v>
      </c>
      <c r="B23" s="327"/>
      <c r="C23" s="343"/>
      <c r="D23" s="343">
        <f>-D10*D22</f>
        <v>-58409238.361557171</v>
      </c>
      <c r="E23" s="343">
        <f t="shared" ref="E23:M23" si="9">-E10*E22</f>
        <v>-59577423.128788307</v>
      </c>
      <c r="F23" s="343">
        <f t="shared" si="9"/>
        <v>0</v>
      </c>
      <c r="G23" s="100">
        <f t="shared" si="9"/>
        <v>-31279265.596046917</v>
      </c>
      <c r="H23" s="100">
        <f t="shared" si="9"/>
        <v>-31904850.907967854</v>
      </c>
      <c r="I23" s="100">
        <f t="shared" si="9"/>
        <v>0</v>
      </c>
      <c r="J23" s="101">
        <f t="shared" si="9"/>
        <v>-27884093.276783936</v>
      </c>
      <c r="K23" s="101">
        <f t="shared" si="9"/>
        <v>-28441775.142319616</v>
      </c>
      <c r="L23" s="101">
        <f t="shared" si="9"/>
        <v>0</v>
      </c>
      <c r="M23" s="101">
        <f t="shared" si="9"/>
        <v>0</v>
      </c>
      <c r="O23" s="199"/>
    </row>
    <row r="24" spans="1:15" ht="14.25" customHeight="1" x14ac:dyDescent="0.15">
      <c r="A24" s="330" t="s">
        <v>14</v>
      </c>
      <c r="B24" s="331">
        <v>0.11</v>
      </c>
      <c r="C24" s="343">
        <f>$B$24*SUM($D$23:$F$23)/3</f>
        <v>-4326177.5879793344</v>
      </c>
      <c r="D24" s="343">
        <f>$B$24*SUM($D$23:$F$23)/3</f>
        <v>-4326177.5879793344</v>
      </c>
      <c r="E24" s="343">
        <f>$B$24*SUM($D$23:$F$23)/3</f>
        <v>-4326177.5879793344</v>
      </c>
      <c r="F24" s="343">
        <f>$B$24*SUM($G$23:$I$23)/3</f>
        <v>-2316750.9384805416</v>
      </c>
      <c r="G24" s="100">
        <f t="shared" ref="G24:H24" si="10">$B$24*SUM($G$23:$I$23)/3</f>
        <v>-2316750.9384805416</v>
      </c>
      <c r="H24" s="100">
        <f t="shared" si="10"/>
        <v>-2316750.9384805416</v>
      </c>
      <c r="I24" s="100">
        <f>$B$24*SUM($J$23:$K$23)/3</f>
        <v>-2065281.8420337967</v>
      </c>
      <c r="J24" s="101">
        <f t="shared" ref="J24:K24" si="11">$B$24*SUM($J$23:$K$23)/3</f>
        <v>-2065281.8420337967</v>
      </c>
      <c r="K24" s="101">
        <f t="shared" si="11"/>
        <v>-2065281.8420337967</v>
      </c>
      <c r="L24" s="101">
        <v>0</v>
      </c>
      <c r="M24" s="101">
        <v>0</v>
      </c>
      <c r="O24" s="199"/>
    </row>
    <row r="25" spans="1:15" ht="14.25" customHeight="1" thickBot="1" x14ac:dyDescent="0.2">
      <c r="A25" s="344" t="s">
        <v>3</v>
      </c>
      <c r="B25" s="348"/>
      <c r="C25" s="346">
        <f>SUM(C23:C24)</f>
        <v>-4326177.5879793344</v>
      </c>
      <c r="D25" s="346">
        <f t="shared" ref="D25:M25" si="12">D23+D24</f>
        <v>-62735415.949536502</v>
      </c>
      <c r="E25" s="346">
        <f t="shared" si="12"/>
        <v>-63903600.716767639</v>
      </c>
      <c r="F25" s="346">
        <f t="shared" si="12"/>
        <v>-2316750.9384805416</v>
      </c>
      <c r="G25" s="102">
        <f t="shared" si="12"/>
        <v>-33596016.534527458</v>
      </c>
      <c r="H25" s="102">
        <f t="shared" si="12"/>
        <v>-34221601.846448399</v>
      </c>
      <c r="I25" s="102">
        <f t="shared" si="12"/>
        <v>-2065281.8420337967</v>
      </c>
      <c r="J25" s="103">
        <f t="shared" si="12"/>
        <v>-29949375.118817732</v>
      </c>
      <c r="K25" s="103">
        <f t="shared" si="12"/>
        <v>-30507056.984353412</v>
      </c>
      <c r="L25" s="103">
        <f t="shared" si="12"/>
        <v>0</v>
      </c>
      <c r="M25" s="103">
        <f t="shared" si="12"/>
        <v>0</v>
      </c>
    </row>
    <row r="26" spans="1:15" ht="18" customHeight="1" x14ac:dyDescent="0.15">
      <c r="A26" s="340" t="s">
        <v>4</v>
      </c>
      <c r="B26" s="341"/>
      <c r="C26" s="342"/>
      <c r="D26" s="342"/>
      <c r="E26" s="342"/>
      <c r="F26" s="342"/>
      <c r="G26" s="98"/>
      <c r="H26" s="98"/>
      <c r="I26" s="98"/>
      <c r="J26" s="99"/>
      <c r="K26" s="99"/>
      <c r="L26" s="99"/>
      <c r="M26" s="99"/>
    </row>
    <row r="27" spans="1:15" ht="14.25" customHeight="1" x14ac:dyDescent="0.15">
      <c r="A27" s="330" t="s">
        <v>5</v>
      </c>
      <c r="B27" s="327"/>
      <c r="C27" s="343"/>
      <c r="D27" s="343"/>
      <c r="E27" s="343"/>
      <c r="F27" s="343">
        <f t="shared" ref="F27:M27" si="13">F20</f>
        <v>4241496.0926520005</v>
      </c>
      <c r="G27" s="100">
        <f t="shared" si="13"/>
        <v>4326326.0145050399</v>
      </c>
      <c r="H27" s="100">
        <f t="shared" si="13"/>
        <v>8908224.7036679126</v>
      </c>
      <c r="I27" s="100">
        <f t="shared" si="13"/>
        <v>13671668.809991498</v>
      </c>
      <c r="J27" s="101">
        <f t="shared" si="13"/>
        <v>13945102.18619133</v>
      </c>
      <c r="K27" s="101">
        <f t="shared" si="13"/>
        <v>14224004.229915153</v>
      </c>
      <c r="L27" s="101">
        <f t="shared" si="13"/>
        <v>18596059.964764006</v>
      </c>
      <c r="M27" s="101">
        <f t="shared" si="13"/>
        <v>18967981.164059285</v>
      </c>
    </row>
    <row r="28" spans="1:15" ht="14.25" customHeight="1" x14ac:dyDescent="0.15">
      <c r="A28" s="330" t="s">
        <v>70</v>
      </c>
      <c r="B28" s="331"/>
      <c r="C28" s="343"/>
      <c r="D28" s="343"/>
      <c r="E28" s="343"/>
      <c r="F28" s="343"/>
      <c r="G28" s="100"/>
      <c r="H28" s="100"/>
      <c r="I28" s="100"/>
      <c r="J28" s="101"/>
      <c r="K28" s="101"/>
      <c r="L28" s="101"/>
      <c r="M28" s="101">
        <f>M27/Assumptions!$C$25</f>
        <v>344872384.8010779</v>
      </c>
    </row>
    <row r="29" spans="1:15" ht="14.25" customHeight="1" x14ac:dyDescent="0.15">
      <c r="A29" s="330" t="s">
        <v>71</v>
      </c>
      <c r="B29" s="331">
        <f>Assumptions!C24</f>
        <v>0.03</v>
      </c>
      <c r="C29" s="343"/>
      <c r="D29" s="343"/>
      <c r="E29" s="343"/>
      <c r="F29" s="343"/>
      <c r="G29" s="100"/>
      <c r="H29" s="100"/>
      <c r="I29" s="100"/>
      <c r="J29" s="101"/>
      <c r="K29" s="101"/>
      <c r="L29" s="101"/>
      <c r="M29" s="101">
        <f>-B29*M28</f>
        <v>-10346171.544032337</v>
      </c>
    </row>
    <row r="30" spans="1:15" ht="14.25" customHeight="1" thickBot="1" x14ac:dyDescent="0.2">
      <c r="A30" s="344" t="s">
        <v>183</v>
      </c>
      <c r="B30" s="339"/>
      <c r="C30" s="345"/>
      <c r="D30" s="345"/>
      <c r="E30" s="345"/>
      <c r="F30" s="345">
        <f>F20+F25</f>
        <v>1924745.1541714589</v>
      </c>
      <c r="G30" s="104">
        <f t="shared" ref="G30:M30" si="14">SUM(G27:G29)</f>
        <v>4326326.0145050399</v>
      </c>
      <c r="H30" s="104">
        <f t="shared" si="14"/>
        <v>8908224.7036679126</v>
      </c>
      <c r="I30" s="104">
        <f t="shared" si="14"/>
        <v>13671668.809991498</v>
      </c>
      <c r="J30" s="105">
        <f t="shared" si="14"/>
        <v>13945102.18619133</v>
      </c>
      <c r="K30" s="105">
        <f t="shared" si="14"/>
        <v>14224004.229915153</v>
      </c>
      <c r="L30" s="105">
        <f t="shared" si="14"/>
        <v>18596059.964764006</v>
      </c>
      <c r="M30" s="105">
        <f t="shared" si="14"/>
        <v>353494194.42110485</v>
      </c>
    </row>
    <row r="31" spans="1:15" ht="18" customHeight="1" x14ac:dyDescent="0.15">
      <c r="A31" s="340" t="s">
        <v>6</v>
      </c>
      <c r="B31" s="327"/>
      <c r="C31" s="343">
        <f>C30+C25</f>
        <v>-4326177.5879793344</v>
      </c>
      <c r="D31" s="343">
        <f>D30+D25</f>
        <v>-62735415.949536502</v>
      </c>
      <c r="E31" s="343">
        <f t="shared" ref="E31:M31" si="15">E30+E25</f>
        <v>-63903600.716767639</v>
      </c>
      <c r="F31" s="343">
        <f t="shared" si="15"/>
        <v>-392005.78430908266</v>
      </c>
      <c r="G31" s="100">
        <f t="shared" si="15"/>
        <v>-29269690.520022418</v>
      </c>
      <c r="H31" s="100">
        <f t="shared" si="15"/>
        <v>-25313377.142780486</v>
      </c>
      <c r="I31" s="100">
        <f t="shared" si="15"/>
        <v>11606386.967957702</v>
      </c>
      <c r="J31" s="101">
        <f t="shared" si="15"/>
        <v>-16004272.932626402</v>
      </c>
      <c r="K31" s="101">
        <f t="shared" si="15"/>
        <v>-16283052.754438259</v>
      </c>
      <c r="L31" s="101">
        <f t="shared" si="15"/>
        <v>18596059.964764006</v>
      </c>
      <c r="M31" s="101">
        <f t="shared" si="15"/>
        <v>353494194.42110485</v>
      </c>
    </row>
    <row r="32" spans="1:15" ht="18" customHeight="1" x14ac:dyDescent="0.15">
      <c r="A32" s="329" t="s">
        <v>20</v>
      </c>
      <c r="B32" s="349">
        <f>C31+NPV(Assumptions!$F$40,D31:M31)</f>
        <v>-15258519.639016695</v>
      </c>
      <c r="C32" s="331"/>
      <c r="D32" s="327"/>
      <c r="E32" s="327"/>
      <c r="F32" s="347"/>
      <c r="G32" s="92"/>
      <c r="H32" s="92"/>
      <c r="I32" s="92"/>
      <c r="J32" s="93"/>
      <c r="K32" s="93"/>
      <c r="L32" s="93"/>
      <c r="M32" s="93"/>
    </row>
    <row r="33" spans="1:13" ht="18" customHeight="1" x14ac:dyDescent="0.15">
      <c r="A33" s="329" t="s">
        <v>72</v>
      </c>
      <c r="B33" s="331">
        <f>IRR(C31:M31)</f>
        <v>8.5153325378212408E-2</v>
      </c>
      <c r="C33" s="327"/>
      <c r="D33" s="327"/>
      <c r="E33" s="327"/>
      <c r="F33" s="347"/>
      <c r="G33" s="92"/>
      <c r="H33" s="92"/>
      <c r="I33" s="92"/>
      <c r="J33" s="93"/>
      <c r="K33" s="93"/>
      <c r="L33" s="93"/>
      <c r="M33" s="93"/>
    </row>
    <row r="34" spans="1:13" ht="18" customHeight="1" x14ac:dyDescent="0.15">
      <c r="A34" s="329"/>
      <c r="B34" s="327"/>
      <c r="C34" s="327"/>
      <c r="D34" s="327"/>
      <c r="E34" s="327"/>
      <c r="F34" s="347"/>
      <c r="G34" s="92"/>
      <c r="H34" s="92"/>
      <c r="I34" s="92"/>
      <c r="J34" s="93"/>
      <c r="K34" s="93"/>
      <c r="L34" s="93"/>
      <c r="M34" s="93"/>
    </row>
    <row r="36" spans="1:13" x14ac:dyDescent="0.15">
      <c r="A36" s="1" t="s">
        <v>215</v>
      </c>
    </row>
  </sheetData>
  <pageMargins left="0.5" right="0.5" top="1" bottom="0.5" header="0.5" footer="0.5"/>
  <pageSetup orientation="landscape" r:id="rId1"/>
  <headerFooter alignWithMargins="0">
    <oddHeader>&amp;L&amp;"Arial,Bold"2. Income Statement: Market-rate Rental Housing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9A560-EE15-4C38-9107-FAB10732F70E}">
  <dimension ref="A1:P34"/>
  <sheetViews>
    <sheetView zoomScaleNormal="100" workbookViewId="0">
      <selection activeCell="L1" sqref="L1:M1"/>
    </sheetView>
  </sheetViews>
  <sheetFormatPr baseColWidth="10" defaultColWidth="9.1640625" defaultRowHeight="13" x14ac:dyDescent="0.15"/>
  <cols>
    <col min="1" max="1" width="23.33203125" style="1" customWidth="1"/>
    <col min="2" max="2" width="12.33203125" style="3" bestFit="1" customWidth="1"/>
    <col min="3" max="3" width="11.83203125" style="3" bestFit="1" customWidth="1"/>
    <col min="4" max="5" width="9.5" style="1" bestFit="1" customWidth="1"/>
    <col min="6" max="8" width="10.6640625" style="1" bestFit="1" customWidth="1"/>
    <col min="9" max="9" width="11.5" style="1" bestFit="1" customWidth="1"/>
    <col min="10" max="11" width="10.6640625" style="1" bestFit="1" customWidth="1"/>
    <col min="12" max="13" width="11.5" style="1" bestFit="1" customWidth="1"/>
    <col min="14" max="16384" width="9.1640625" style="1"/>
  </cols>
  <sheetData>
    <row r="1" spans="1:13" ht="14.25" customHeight="1" thickBot="1" x14ac:dyDescent="0.2">
      <c r="A1" s="350" t="s">
        <v>52</v>
      </c>
      <c r="B1" s="352" t="s">
        <v>35</v>
      </c>
      <c r="C1" s="352" t="s">
        <v>153</v>
      </c>
      <c r="D1" s="71" t="s">
        <v>154</v>
      </c>
      <c r="E1" s="78" t="s">
        <v>28</v>
      </c>
      <c r="L1" s="214" t="s">
        <v>46</v>
      </c>
      <c r="M1" s="215">
        <v>199991</v>
      </c>
    </row>
    <row r="2" spans="1:13" ht="14.25" customHeight="1" x14ac:dyDescent="0.15">
      <c r="A2" s="353"/>
      <c r="B2" s="354" t="s">
        <v>110</v>
      </c>
      <c r="C2" s="354" t="s">
        <v>110</v>
      </c>
      <c r="D2" s="73" t="s">
        <v>110</v>
      </c>
      <c r="E2" s="80" t="s">
        <v>110</v>
      </c>
      <c r="F2" s="288"/>
      <c r="G2" s="288"/>
      <c r="H2" s="288"/>
      <c r="I2" s="288"/>
      <c r="J2" s="288"/>
      <c r="K2" s="288"/>
      <c r="L2" s="363"/>
      <c r="M2" s="364"/>
    </row>
    <row r="3" spans="1:13" ht="14.25" customHeight="1" thickBot="1" x14ac:dyDescent="0.2">
      <c r="A3" s="355" t="s">
        <v>52</v>
      </c>
      <c r="B3" s="356">
        <f>Phasing!C14</f>
        <v>110707.09674589979</v>
      </c>
      <c r="C3" s="356">
        <f>Phasing!E14</f>
        <v>206566</v>
      </c>
      <c r="D3" s="75">
        <f>Phasing!G14</f>
        <v>128726</v>
      </c>
      <c r="E3" s="106">
        <f>B3+C3+D3</f>
        <v>445999.09674589976</v>
      </c>
      <c r="F3" s="288"/>
      <c r="G3" s="288"/>
      <c r="H3" s="288"/>
      <c r="I3" s="288"/>
      <c r="J3" s="288"/>
      <c r="K3" s="288"/>
      <c r="L3" s="363"/>
      <c r="M3" s="364"/>
    </row>
    <row r="4" spans="1:13" ht="14.25" customHeight="1" thickBot="1" x14ac:dyDescent="0.2">
      <c r="A4" s="357" t="s">
        <v>179</v>
      </c>
      <c r="B4" s="359">
        <f>SUM(B3:B3)</f>
        <v>110707.09674589979</v>
      </c>
      <c r="C4" s="359">
        <f>SUM(C3:C3)</f>
        <v>206566</v>
      </c>
      <c r="D4" s="77">
        <f>SUM(D3:D3)</f>
        <v>128726</v>
      </c>
      <c r="E4" s="80">
        <f>SUM(E3:E3)</f>
        <v>445999.09674589976</v>
      </c>
      <c r="F4" s="288"/>
      <c r="G4" s="288"/>
      <c r="H4" s="288"/>
      <c r="I4" s="288"/>
      <c r="J4" s="288"/>
      <c r="K4" s="288"/>
      <c r="L4" s="363"/>
      <c r="M4" s="364"/>
    </row>
    <row r="5" spans="1:13" ht="14.25" customHeight="1" x14ac:dyDescent="0.15">
      <c r="A5" s="288"/>
      <c r="B5" s="289"/>
      <c r="C5" s="289"/>
      <c r="D5" s="288"/>
      <c r="E5" s="288"/>
      <c r="F5" s="288"/>
      <c r="G5" s="288"/>
      <c r="H5" s="288"/>
      <c r="I5" s="288"/>
      <c r="J5" s="288"/>
      <c r="K5" s="288"/>
      <c r="L5" s="288"/>
      <c r="M5" s="288"/>
    </row>
    <row r="6" spans="1:13" ht="14.25" customHeight="1" x14ac:dyDescent="0.15">
      <c r="A6" s="326"/>
      <c r="B6" s="327"/>
      <c r="C6" s="327" t="s">
        <v>68</v>
      </c>
      <c r="D6" s="328" t="s">
        <v>35</v>
      </c>
      <c r="E6" s="327"/>
      <c r="F6" s="327"/>
      <c r="G6" s="88" t="s">
        <v>153</v>
      </c>
      <c r="H6" s="88"/>
      <c r="I6" s="88"/>
      <c r="J6" s="89" t="s">
        <v>154</v>
      </c>
      <c r="K6" s="89"/>
      <c r="L6" s="89"/>
      <c r="M6" s="89"/>
    </row>
    <row r="7" spans="1:13" ht="14.25" customHeight="1" x14ac:dyDescent="0.15">
      <c r="A7" s="326"/>
      <c r="B7" s="328" t="s">
        <v>19</v>
      </c>
      <c r="C7" s="328" t="s">
        <v>88</v>
      </c>
      <c r="D7" s="328">
        <v>2021</v>
      </c>
      <c r="E7" s="328">
        <f>D7+1</f>
        <v>2022</v>
      </c>
      <c r="F7" s="328">
        <f t="shared" ref="F7:M7" si="0">E7+1</f>
        <v>2023</v>
      </c>
      <c r="G7" s="88">
        <f t="shared" si="0"/>
        <v>2024</v>
      </c>
      <c r="H7" s="88">
        <f t="shared" si="0"/>
        <v>2025</v>
      </c>
      <c r="I7" s="88">
        <f t="shared" si="0"/>
        <v>2026</v>
      </c>
      <c r="J7" s="89">
        <f t="shared" si="0"/>
        <v>2027</v>
      </c>
      <c r="K7" s="89">
        <f t="shared" si="0"/>
        <v>2028</v>
      </c>
      <c r="L7" s="89">
        <f t="shared" si="0"/>
        <v>2029</v>
      </c>
      <c r="M7" s="89">
        <f t="shared" si="0"/>
        <v>2030</v>
      </c>
    </row>
    <row r="8" spans="1:13" ht="18" customHeight="1" x14ac:dyDescent="0.15">
      <c r="A8" s="329" t="s">
        <v>11</v>
      </c>
      <c r="B8" s="327"/>
      <c r="C8" s="327"/>
      <c r="D8" s="327"/>
      <c r="E8" s="327"/>
      <c r="F8" s="327"/>
      <c r="G8" s="88"/>
      <c r="H8" s="88"/>
      <c r="I8" s="88"/>
      <c r="J8" s="89"/>
      <c r="K8" s="89"/>
      <c r="L8" s="89"/>
      <c r="M8" s="89"/>
    </row>
    <row r="9" spans="1:13" x14ac:dyDescent="0.15">
      <c r="A9" s="303" t="s">
        <v>12</v>
      </c>
      <c r="B9" s="331">
        <v>0.02</v>
      </c>
      <c r="C9" s="331"/>
      <c r="D9" s="332"/>
      <c r="E9" s="332"/>
      <c r="F9" s="332"/>
      <c r="G9" s="88"/>
      <c r="H9" s="88"/>
      <c r="I9" s="88"/>
      <c r="J9" s="89"/>
      <c r="K9" s="89"/>
      <c r="L9" s="89"/>
      <c r="M9" s="89"/>
    </row>
    <row r="10" spans="1:13" x14ac:dyDescent="0.15">
      <c r="A10" s="330" t="s">
        <v>186</v>
      </c>
      <c r="B10" s="331"/>
      <c r="C10" s="331"/>
      <c r="D10" s="333">
        <f>D12</f>
        <v>55353.548372949896</v>
      </c>
      <c r="E10" s="333">
        <f t="shared" ref="E10:K10" si="1">E12</f>
        <v>55353.548372949896</v>
      </c>
      <c r="F10" s="333"/>
      <c r="G10" s="90">
        <f t="shared" si="1"/>
        <v>103283</v>
      </c>
      <c r="H10" s="90">
        <f t="shared" si="1"/>
        <v>103283</v>
      </c>
      <c r="I10" s="90"/>
      <c r="J10" s="87">
        <f t="shared" si="1"/>
        <v>64363</v>
      </c>
      <c r="K10" s="87">
        <f t="shared" si="1"/>
        <v>64363</v>
      </c>
      <c r="L10" s="89"/>
      <c r="M10" s="89"/>
    </row>
    <row r="11" spans="1:13" x14ac:dyDescent="0.15">
      <c r="A11" s="330" t="s">
        <v>190</v>
      </c>
      <c r="B11" s="331"/>
      <c r="C11" s="331"/>
      <c r="D11" s="333">
        <f>D13</f>
        <v>55353.548372949896</v>
      </c>
      <c r="E11" s="333">
        <f t="shared" ref="E11:M11" si="2">E13</f>
        <v>110707.09674589979</v>
      </c>
      <c r="F11" s="333">
        <f t="shared" si="2"/>
        <v>110707.09674589979</v>
      </c>
      <c r="G11" s="90">
        <f t="shared" si="2"/>
        <v>213990.09674589979</v>
      </c>
      <c r="H11" s="90">
        <f t="shared" si="2"/>
        <v>317273.09674589976</v>
      </c>
      <c r="I11" s="90">
        <f t="shared" si="2"/>
        <v>317273.09674589976</v>
      </c>
      <c r="J11" s="87">
        <f t="shared" si="2"/>
        <v>381636.09674589976</v>
      </c>
      <c r="K11" s="87">
        <f t="shared" si="2"/>
        <v>445999.09674589976</v>
      </c>
      <c r="L11" s="87">
        <f t="shared" si="2"/>
        <v>445999.09674589976</v>
      </c>
      <c r="M11" s="87">
        <f t="shared" si="2"/>
        <v>445999.09674589976</v>
      </c>
    </row>
    <row r="12" spans="1:13" x14ac:dyDescent="0.15">
      <c r="A12" s="330" t="s">
        <v>289</v>
      </c>
      <c r="B12" s="331"/>
      <c r="C12" s="331"/>
      <c r="D12" s="333">
        <f>$B$3/2</f>
        <v>55353.548372949896</v>
      </c>
      <c r="E12" s="333">
        <f>$B$3/2</f>
        <v>55353.548372949896</v>
      </c>
      <c r="F12" s="333"/>
      <c r="G12" s="90">
        <f>$C$3/2</f>
        <v>103283</v>
      </c>
      <c r="H12" s="90">
        <f>$C$3/2</f>
        <v>103283</v>
      </c>
      <c r="I12" s="90"/>
      <c r="J12" s="87">
        <f>$D$3/2</f>
        <v>64363</v>
      </c>
      <c r="K12" s="87">
        <f>$D$3/2</f>
        <v>64363</v>
      </c>
      <c r="L12" s="89"/>
      <c r="M12" s="89"/>
    </row>
    <row r="13" spans="1:13" x14ac:dyDescent="0.15">
      <c r="A13" s="330" t="s">
        <v>290</v>
      </c>
      <c r="B13" s="331"/>
      <c r="C13" s="331"/>
      <c r="D13" s="333">
        <f>D12</f>
        <v>55353.548372949896</v>
      </c>
      <c r="E13" s="333">
        <f>D13+E12</f>
        <v>110707.09674589979</v>
      </c>
      <c r="F13" s="333">
        <f t="shared" ref="F13:M13" si="3">E13+F12</f>
        <v>110707.09674589979</v>
      </c>
      <c r="G13" s="90">
        <f t="shared" si="3"/>
        <v>213990.09674589979</v>
      </c>
      <c r="H13" s="90">
        <f t="shared" si="3"/>
        <v>317273.09674589976</v>
      </c>
      <c r="I13" s="90">
        <f t="shared" si="3"/>
        <v>317273.09674589976</v>
      </c>
      <c r="J13" s="87">
        <f t="shared" si="3"/>
        <v>381636.09674589976</v>
      </c>
      <c r="K13" s="87">
        <f t="shared" si="3"/>
        <v>445999.09674589976</v>
      </c>
      <c r="L13" s="87">
        <f t="shared" si="3"/>
        <v>445999.09674589976</v>
      </c>
      <c r="M13" s="87">
        <f t="shared" si="3"/>
        <v>445999.09674589976</v>
      </c>
    </row>
    <row r="14" spans="1:13" x14ac:dyDescent="0.15">
      <c r="A14" s="303" t="s">
        <v>189</v>
      </c>
      <c r="B14" s="331"/>
      <c r="C14" s="331"/>
      <c r="D14" s="333"/>
      <c r="E14" s="333"/>
      <c r="F14" s="333">
        <f>B4-Phasing!G31</f>
        <v>100037.09674589979</v>
      </c>
      <c r="G14" s="90">
        <f>F14</f>
        <v>100037.09674589979</v>
      </c>
      <c r="H14" s="90">
        <f>G14+Phasing!G31</f>
        <v>110707.09674589979</v>
      </c>
      <c r="I14" s="90">
        <f>H14+C3</f>
        <v>317273.09674589976</v>
      </c>
      <c r="J14" s="87">
        <f>I14</f>
        <v>317273.09674589976</v>
      </c>
      <c r="K14" s="87">
        <f>J14</f>
        <v>317273.09674589976</v>
      </c>
      <c r="L14" s="87">
        <f>K14+D3</f>
        <v>445999.09674589976</v>
      </c>
      <c r="M14" s="87">
        <f>L14</f>
        <v>445999.09674589976</v>
      </c>
    </row>
    <row r="15" spans="1:13" ht="14.25" customHeight="1" x14ac:dyDescent="0.15">
      <c r="A15" s="303" t="s">
        <v>45</v>
      </c>
      <c r="B15" s="331">
        <f>Assumptions!F33</f>
        <v>0.04</v>
      </c>
      <c r="C15" s="327"/>
      <c r="D15" s="327"/>
      <c r="E15" s="327"/>
      <c r="F15" s="327"/>
      <c r="G15" s="88"/>
      <c r="H15" s="88"/>
      <c r="I15" s="88"/>
      <c r="J15" s="89"/>
      <c r="K15" s="89"/>
      <c r="L15" s="89"/>
      <c r="M15" s="89"/>
    </row>
    <row r="16" spans="1:13" ht="14.25" customHeight="1" thickBot="1" x14ac:dyDescent="0.2">
      <c r="A16" s="360" t="s">
        <v>137</v>
      </c>
      <c r="B16" s="361"/>
      <c r="C16" s="361"/>
      <c r="D16" s="361">
        <f>Assumptions!F30</f>
        <v>20</v>
      </c>
      <c r="E16" s="361">
        <f t="shared" ref="E16:M16" si="4">D16*(1+$B$9)</f>
        <v>20.399999999999999</v>
      </c>
      <c r="F16" s="362">
        <f t="shared" si="4"/>
        <v>20.808</v>
      </c>
      <c r="G16" s="107">
        <f t="shared" si="4"/>
        <v>21.224160000000001</v>
      </c>
      <c r="H16" s="107">
        <f t="shared" si="4"/>
        <v>21.648643200000002</v>
      </c>
      <c r="I16" s="107">
        <f t="shared" si="4"/>
        <v>22.081616064000002</v>
      </c>
      <c r="J16" s="108">
        <f t="shared" si="4"/>
        <v>22.523248385280002</v>
      </c>
      <c r="K16" s="108">
        <f t="shared" si="4"/>
        <v>22.973713352985602</v>
      </c>
      <c r="L16" s="108">
        <f t="shared" si="4"/>
        <v>23.433187620045313</v>
      </c>
      <c r="M16" s="108">
        <f t="shared" si="4"/>
        <v>23.90185137244622</v>
      </c>
    </row>
    <row r="17" spans="1:16" ht="18" customHeight="1" x14ac:dyDescent="0.15">
      <c r="A17" s="340" t="s">
        <v>0</v>
      </c>
      <c r="B17" s="341"/>
      <c r="C17" s="342"/>
      <c r="D17" s="342"/>
      <c r="E17" s="342"/>
      <c r="F17" s="342"/>
      <c r="G17" s="98"/>
      <c r="H17" s="98"/>
      <c r="I17" s="98"/>
      <c r="J17" s="99"/>
      <c r="K17" s="99"/>
      <c r="L17" s="99"/>
      <c r="M17" s="99"/>
    </row>
    <row r="18" spans="1:16" ht="14.25" customHeight="1" x14ac:dyDescent="0.15">
      <c r="A18" s="330" t="s">
        <v>87</v>
      </c>
      <c r="B18" s="327"/>
      <c r="C18" s="343"/>
      <c r="D18" s="343"/>
      <c r="E18" s="343"/>
      <c r="F18" s="343">
        <f>F14*F16*(1-$B$15)</f>
        <v>1998309.0327251356</v>
      </c>
      <c r="G18" s="100">
        <f t="shared" ref="G18:M18" si="5">G14*G16*(1-$B$15)</f>
        <v>2038275.2133796383</v>
      </c>
      <c r="H18" s="100">
        <f t="shared" si="5"/>
        <v>2300792.0996734714</v>
      </c>
      <c r="I18" s="100">
        <f t="shared" si="5"/>
        <v>6725666.6013881154</v>
      </c>
      <c r="J18" s="101">
        <f t="shared" si="5"/>
        <v>6860179.9334158776</v>
      </c>
      <c r="K18" s="101">
        <f t="shared" si="5"/>
        <v>6997383.5320841949</v>
      </c>
      <c r="L18" s="101">
        <f t="shared" si="5"/>
        <v>10033133.291920712</v>
      </c>
      <c r="M18" s="101">
        <f t="shared" si="5"/>
        <v>10233795.957759129</v>
      </c>
    </row>
    <row r="19" spans="1:16" ht="14.25" customHeight="1" x14ac:dyDescent="0.15">
      <c r="A19" s="330" t="s">
        <v>182</v>
      </c>
      <c r="B19" s="331">
        <f>Assumptions!F32</f>
        <v>0.25</v>
      </c>
      <c r="C19" s="343"/>
      <c r="D19" s="343"/>
      <c r="E19" s="343"/>
      <c r="F19" s="343">
        <f>$B$19*F18</f>
        <v>499577.25818128389</v>
      </c>
      <c r="G19" s="100">
        <f t="shared" ref="G19:M19" si="6">$B$19*G18</f>
        <v>509568.80334490957</v>
      </c>
      <c r="H19" s="100">
        <f t="shared" si="6"/>
        <v>575198.02491836785</v>
      </c>
      <c r="I19" s="100">
        <f t="shared" si="6"/>
        <v>1681416.6503470289</v>
      </c>
      <c r="J19" s="101">
        <f t="shared" si="6"/>
        <v>1715044.9833539694</v>
      </c>
      <c r="K19" s="101">
        <f t="shared" si="6"/>
        <v>1749345.8830210487</v>
      </c>
      <c r="L19" s="101">
        <f t="shared" si="6"/>
        <v>2508283.3229801781</v>
      </c>
      <c r="M19" s="101">
        <f t="shared" si="6"/>
        <v>2558448.9894397822</v>
      </c>
    </row>
    <row r="20" spans="1:16" ht="14.25" customHeight="1" thickBot="1" x14ac:dyDescent="0.2">
      <c r="A20" s="344" t="s">
        <v>5</v>
      </c>
      <c r="B20" s="339"/>
      <c r="C20" s="345"/>
      <c r="D20" s="346">
        <f t="shared" ref="D20:E20" si="7">D18-D19</f>
        <v>0</v>
      </c>
      <c r="E20" s="346">
        <f t="shared" si="7"/>
        <v>0</v>
      </c>
      <c r="F20" s="346">
        <f>F18-F19</f>
        <v>1498731.7745438516</v>
      </c>
      <c r="G20" s="102">
        <f t="shared" ref="G20:M20" si="8">G18-G19</f>
        <v>1528706.4100347287</v>
      </c>
      <c r="H20" s="102">
        <f t="shared" si="8"/>
        <v>1725594.0747551036</v>
      </c>
      <c r="I20" s="102">
        <f t="shared" si="8"/>
        <v>5044249.9510410866</v>
      </c>
      <c r="J20" s="103">
        <f t="shared" si="8"/>
        <v>5145134.950061908</v>
      </c>
      <c r="K20" s="103">
        <f t="shared" si="8"/>
        <v>5248037.6490631457</v>
      </c>
      <c r="L20" s="103">
        <f t="shared" si="8"/>
        <v>7524849.9689405337</v>
      </c>
      <c r="M20" s="103">
        <f t="shared" si="8"/>
        <v>7675346.9683193471</v>
      </c>
    </row>
    <row r="21" spans="1:16" ht="18" customHeight="1" x14ac:dyDescent="0.15">
      <c r="A21" s="340" t="s">
        <v>2</v>
      </c>
      <c r="B21" s="341"/>
      <c r="C21" s="343"/>
      <c r="D21" s="343"/>
      <c r="E21" s="343"/>
      <c r="F21" s="343"/>
      <c r="G21" s="100"/>
      <c r="H21" s="100"/>
      <c r="I21" s="100"/>
      <c r="J21" s="101"/>
      <c r="K21" s="101"/>
      <c r="L21" s="101"/>
      <c r="M21" s="101"/>
    </row>
    <row r="22" spans="1:16" ht="14.25" customHeight="1" x14ac:dyDescent="0.15">
      <c r="A22" s="330" t="s">
        <v>187</v>
      </c>
      <c r="B22" s="289"/>
      <c r="C22" s="343"/>
      <c r="D22" s="347">
        <v>150</v>
      </c>
      <c r="E22" s="347">
        <f>D22*(1+$B$9)</f>
        <v>153</v>
      </c>
      <c r="F22" s="347">
        <f t="shared" ref="F22:M22" si="9">E22*(1+$B$9)</f>
        <v>156.06</v>
      </c>
      <c r="G22" s="92">
        <f t="shared" si="9"/>
        <v>159.18120000000002</v>
      </c>
      <c r="H22" s="92">
        <f t="shared" si="9"/>
        <v>162.36482400000003</v>
      </c>
      <c r="I22" s="92">
        <f t="shared" si="9"/>
        <v>165.61212048000004</v>
      </c>
      <c r="J22" s="93">
        <f t="shared" si="9"/>
        <v>168.92436288960005</v>
      </c>
      <c r="K22" s="93">
        <f t="shared" si="9"/>
        <v>172.30285014739206</v>
      </c>
      <c r="L22" s="93">
        <f t="shared" si="9"/>
        <v>175.7489071503399</v>
      </c>
      <c r="M22" s="93">
        <f t="shared" si="9"/>
        <v>179.2638852933467</v>
      </c>
    </row>
    <row r="23" spans="1:16" ht="14.25" customHeight="1" x14ac:dyDescent="0.15">
      <c r="A23" s="330" t="s">
        <v>188</v>
      </c>
      <c r="B23" s="327"/>
      <c r="C23" s="343"/>
      <c r="D23" s="343">
        <f>-D12*D22</f>
        <v>-8303032.2559424844</v>
      </c>
      <c r="E23" s="343">
        <f>-E12*E22</f>
        <v>-8469092.9010613337</v>
      </c>
      <c r="F23" s="343">
        <v>0</v>
      </c>
      <c r="G23" s="100">
        <f t="shared" ref="G23:M23" si="10">-G12*G22</f>
        <v>-16440711.879600001</v>
      </c>
      <c r="H23" s="100">
        <f t="shared" si="10"/>
        <v>-16769526.117192002</v>
      </c>
      <c r="I23" s="100">
        <f t="shared" si="10"/>
        <v>0</v>
      </c>
      <c r="J23" s="101">
        <f t="shared" si="10"/>
        <v>-10872478.768663328</v>
      </c>
      <c r="K23" s="101">
        <f t="shared" si="10"/>
        <v>-11089928.344036596</v>
      </c>
      <c r="L23" s="101">
        <f t="shared" si="10"/>
        <v>0</v>
      </c>
      <c r="M23" s="101">
        <f t="shared" si="10"/>
        <v>0</v>
      </c>
      <c r="P23" s="199"/>
    </row>
    <row r="24" spans="1:16" ht="14.25" customHeight="1" x14ac:dyDescent="0.15">
      <c r="A24" s="330" t="s">
        <v>14</v>
      </c>
      <c r="B24" s="331">
        <v>0.11</v>
      </c>
      <c r="C24" s="343">
        <f>$B$24*SUM($D$23:$F$23)/3</f>
        <v>-614977.92242347333</v>
      </c>
      <c r="D24" s="343">
        <f>$B$24*SUM($D$23:$F$23)/3</f>
        <v>-614977.92242347333</v>
      </c>
      <c r="E24" s="343">
        <f>$B$24*SUM($D$23:$F$23)/3</f>
        <v>-614977.92242347333</v>
      </c>
      <c r="F24" s="343">
        <f>$B$24*SUM($G$23:$I$23)/3</f>
        <v>-1217708.7265490401</v>
      </c>
      <c r="G24" s="100">
        <f t="shared" ref="G24:H24" si="11">$B$24*SUM($G$23:$I$23)/3</f>
        <v>-1217708.7265490401</v>
      </c>
      <c r="H24" s="100">
        <f t="shared" si="11"/>
        <v>-1217708.7265490401</v>
      </c>
      <c r="I24" s="100">
        <f>$B$24*SUM($J$23:$K$23)/3</f>
        <v>-805288.26079899725</v>
      </c>
      <c r="J24" s="101">
        <f t="shared" ref="J24:K24" si="12">$B$24*SUM($J$23:$K$23)/3</f>
        <v>-805288.26079899725</v>
      </c>
      <c r="K24" s="101">
        <f t="shared" si="12"/>
        <v>-805288.26079899725</v>
      </c>
      <c r="L24" s="101">
        <v>0</v>
      </c>
      <c r="M24" s="101">
        <v>0</v>
      </c>
      <c r="P24" s="199"/>
    </row>
    <row r="25" spans="1:16" ht="14.25" customHeight="1" thickBot="1" x14ac:dyDescent="0.2">
      <c r="A25" s="344" t="s">
        <v>3</v>
      </c>
      <c r="B25" s="348"/>
      <c r="C25" s="346">
        <f>SUM(C23:C24)</f>
        <v>-614977.92242347333</v>
      </c>
      <c r="D25" s="346">
        <f t="shared" ref="D25:M25" si="13">D23+D24</f>
        <v>-8918010.178365957</v>
      </c>
      <c r="E25" s="346">
        <f t="shared" si="13"/>
        <v>-9084070.8234848063</v>
      </c>
      <c r="F25" s="346">
        <f t="shared" si="13"/>
        <v>-1217708.7265490401</v>
      </c>
      <c r="G25" s="102">
        <f t="shared" si="13"/>
        <v>-17658420.60614904</v>
      </c>
      <c r="H25" s="102">
        <f t="shared" si="13"/>
        <v>-17987234.843741041</v>
      </c>
      <c r="I25" s="102">
        <f t="shared" si="13"/>
        <v>-805288.26079899725</v>
      </c>
      <c r="J25" s="103">
        <f t="shared" si="13"/>
        <v>-11677767.029462326</v>
      </c>
      <c r="K25" s="103">
        <f t="shared" si="13"/>
        <v>-11895216.604835592</v>
      </c>
      <c r="L25" s="103">
        <f t="shared" si="13"/>
        <v>0</v>
      </c>
      <c r="M25" s="103">
        <f t="shared" si="13"/>
        <v>0</v>
      </c>
    </row>
    <row r="26" spans="1:16" ht="18" customHeight="1" x14ac:dyDescent="0.15">
      <c r="A26" s="340" t="s">
        <v>4</v>
      </c>
      <c r="B26" s="341"/>
      <c r="C26" s="342"/>
      <c r="D26" s="342"/>
      <c r="E26" s="342"/>
      <c r="F26" s="342"/>
      <c r="G26" s="98"/>
      <c r="H26" s="98"/>
      <c r="I26" s="98"/>
      <c r="J26" s="99"/>
      <c r="K26" s="99"/>
      <c r="L26" s="99"/>
      <c r="M26" s="99"/>
    </row>
    <row r="27" spans="1:16" ht="14.25" customHeight="1" x14ac:dyDescent="0.15">
      <c r="A27" s="330" t="s">
        <v>5</v>
      </c>
      <c r="B27" s="327"/>
      <c r="C27" s="343"/>
      <c r="D27" s="343"/>
      <c r="E27" s="343"/>
      <c r="F27" s="343">
        <f t="shared" ref="F27:M27" si="14">F20</f>
        <v>1498731.7745438516</v>
      </c>
      <c r="G27" s="100">
        <f t="shared" si="14"/>
        <v>1528706.4100347287</v>
      </c>
      <c r="H27" s="100">
        <f t="shared" si="14"/>
        <v>1725594.0747551036</v>
      </c>
      <c r="I27" s="100">
        <f t="shared" si="14"/>
        <v>5044249.9510410866</v>
      </c>
      <c r="J27" s="101">
        <f t="shared" si="14"/>
        <v>5145134.950061908</v>
      </c>
      <c r="K27" s="101">
        <f t="shared" si="14"/>
        <v>5248037.6490631457</v>
      </c>
      <c r="L27" s="101">
        <f t="shared" si="14"/>
        <v>7524849.9689405337</v>
      </c>
      <c r="M27" s="101">
        <f t="shared" si="14"/>
        <v>7675346.9683193471</v>
      </c>
    </row>
    <row r="28" spans="1:16" ht="14.25" customHeight="1" x14ac:dyDescent="0.15">
      <c r="A28" s="330" t="s">
        <v>70</v>
      </c>
      <c r="B28" s="331"/>
      <c r="C28" s="343"/>
      <c r="D28" s="343"/>
      <c r="E28" s="343"/>
      <c r="F28" s="343">
        <f>F27/Assumptions!$F$36</f>
        <v>24978862.909064196</v>
      </c>
      <c r="G28" s="100">
        <f>G27/Assumptions!$F$36</f>
        <v>25478440.167245481</v>
      </c>
      <c r="H28" s="100">
        <f>H27/Assumptions!$F$36</f>
        <v>28759901.245918393</v>
      </c>
      <c r="I28" s="100">
        <f>I27/Assumptions!$F$36</f>
        <v>84070832.517351449</v>
      </c>
      <c r="J28" s="101">
        <f>J27/Assumptions!$F$36</f>
        <v>85752249.167698473</v>
      </c>
      <c r="K28" s="101">
        <f>K27/Assumptions!$F$36</f>
        <v>87467294.15105243</v>
      </c>
      <c r="L28" s="101">
        <f>L27/Assumptions!$F$36</f>
        <v>125414166.1490089</v>
      </c>
      <c r="M28" s="101">
        <f>M27/Assumptions!$F$36</f>
        <v>127922449.47198913</v>
      </c>
    </row>
    <row r="29" spans="1:16" ht="14.25" customHeight="1" x14ac:dyDescent="0.15">
      <c r="A29" s="330" t="s">
        <v>71</v>
      </c>
      <c r="B29" s="331">
        <f>Assumptions!C24</f>
        <v>0.03</v>
      </c>
      <c r="C29" s="343"/>
      <c r="D29" s="343"/>
      <c r="E29" s="343"/>
      <c r="F29" s="343"/>
      <c r="G29" s="100"/>
      <c r="H29" s="100"/>
      <c r="I29" s="100"/>
      <c r="J29" s="101"/>
      <c r="K29" s="101"/>
      <c r="L29" s="101"/>
      <c r="M29" s="101">
        <f>-B29*M28</f>
        <v>-3837673.4841596736</v>
      </c>
    </row>
    <row r="30" spans="1:16" ht="14.25" customHeight="1" thickBot="1" x14ac:dyDescent="0.2">
      <c r="A30" s="344" t="s">
        <v>183</v>
      </c>
      <c r="B30" s="348"/>
      <c r="C30" s="346"/>
      <c r="D30" s="346"/>
      <c r="E30" s="346"/>
      <c r="F30" s="346">
        <f>F20+F25</f>
        <v>281023.04799481155</v>
      </c>
      <c r="G30" s="102">
        <f t="shared" ref="G30:L30" si="15">G20+G25</f>
        <v>-16129714.196114311</v>
      </c>
      <c r="H30" s="102">
        <f t="shared" si="15"/>
        <v>-16261640.768985936</v>
      </c>
      <c r="I30" s="102">
        <f t="shared" si="15"/>
        <v>4238961.6902420893</v>
      </c>
      <c r="J30" s="103">
        <f t="shared" si="15"/>
        <v>-6532632.0794004183</v>
      </c>
      <c r="K30" s="103">
        <f t="shared" si="15"/>
        <v>-6647178.9557724465</v>
      </c>
      <c r="L30" s="103">
        <f t="shared" si="15"/>
        <v>7524849.9689405337</v>
      </c>
      <c r="M30" s="103">
        <f t="shared" ref="M30" si="16">SUM(M27:M29)</f>
        <v>131760122.9561488</v>
      </c>
    </row>
    <row r="31" spans="1:16" ht="18" customHeight="1" x14ac:dyDescent="0.15">
      <c r="A31" s="340" t="s">
        <v>6</v>
      </c>
      <c r="B31" s="327"/>
      <c r="C31" s="343">
        <f>C30+C25</f>
        <v>-614977.92242347333</v>
      </c>
      <c r="D31" s="343">
        <f>D30+D25</f>
        <v>-8918010.178365957</v>
      </c>
      <c r="E31" s="343">
        <f t="shared" ref="E31:M31" si="17">E30+E25</f>
        <v>-9084070.8234848063</v>
      </c>
      <c r="F31" s="343">
        <f t="shared" si="17"/>
        <v>-936685.67855422851</v>
      </c>
      <c r="G31" s="100">
        <f t="shared" si="17"/>
        <v>-33788134.802263349</v>
      </c>
      <c r="H31" s="100">
        <f t="shared" si="17"/>
        <v>-34248875.612726979</v>
      </c>
      <c r="I31" s="100">
        <f t="shared" si="17"/>
        <v>3433673.4294430921</v>
      </c>
      <c r="J31" s="101">
        <f t="shared" si="17"/>
        <v>-18210399.108862743</v>
      </c>
      <c r="K31" s="101">
        <f t="shared" si="17"/>
        <v>-18542395.560608037</v>
      </c>
      <c r="L31" s="101">
        <f t="shared" si="17"/>
        <v>7524849.9689405337</v>
      </c>
      <c r="M31" s="101">
        <f t="shared" si="17"/>
        <v>131760122.9561488</v>
      </c>
    </row>
    <row r="32" spans="1:16" ht="18" customHeight="1" x14ac:dyDescent="0.15">
      <c r="A32" s="329" t="s">
        <v>20</v>
      </c>
      <c r="B32" s="349">
        <f>C31+NPV(Assumptions!$F$40,D31:M31)</f>
        <v>-23343367.334454503</v>
      </c>
      <c r="C32" s="331"/>
      <c r="D32" s="327"/>
      <c r="E32" s="327"/>
      <c r="F32" s="347"/>
      <c r="G32" s="92"/>
      <c r="H32" s="92"/>
      <c r="I32" s="92"/>
      <c r="J32" s="93"/>
      <c r="K32" s="93"/>
      <c r="L32" s="93"/>
      <c r="M32" s="93"/>
    </row>
    <row r="33" spans="1:13" ht="18" customHeight="1" x14ac:dyDescent="0.15">
      <c r="A33" s="329" t="s">
        <v>72</v>
      </c>
      <c r="B33" s="331">
        <f>IRR(C31:M31)</f>
        <v>2.8062402255291996E-2</v>
      </c>
      <c r="C33" s="327"/>
      <c r="D33" s="327"/>
      <c r="E33" s="327"/>
      <c r="F33" s="347"/>
      <c r="G33" s="92"/>
      <c r="H33" s="92"/>
      <c r="I33" s="92"/>
      <c r="J33" s="93"/>
      <c r="K33" s="93"/>
      <c r="L33" s="93"/>
      <c r="M33" s="93"/>
    </row>
    <row r="34" spans="1:13" ht="18" customHeight="1" x14ac:dyDescent="0.15">
      <c r="A34" s="86"/>
      <c r="B34" s="85"/>
      <c r="C34" s="85"/>
      <c r="D34" s="85"/>
      <c r="E34" s="85"/>
      <c r="F34" s="91"/>
      <c r="G34" s="92"/>
      <c r="H34" s="92"/>
      <c r="I34" s="92"/>
      <c r="J34" s="93"/>
      <c r="K34" s="93"/>
      <c r="L34" s="93"/>
      <c r="M34" s="93"/>
    </row>
  </sheetData>
  <pageMargins left="0.5" right="0.5" top="1" bottom="0.5" header="0.5" footer="0.5"/>
  <pageSetup orientation="landscape" r:id="rId1"/>
  <headerFooter alignWithMargins="0">
    <oddHeader>&amp;L&amp;"Arial,Bold"2. Income Statement: Market-rate Rental Housing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6A0BD-F1BB-4698-9D75-003643866353}">
  <dimension ref="A1:O35"/>
  <sheetViews>
    <sheetView zoomScaleNormal="100" workbookViewId="0">
      <selection activeCell="L2" sqref="L2"/>
    </sheetView>
  </sheetViews>
  <sheetFormatPr baseColWidth="10" defaultColWidth="9.1640625" defaultRowHeight="13" x14ac:dyDescent="0.15"/>
  <cols>
    <col min="1" max="1" width="23.33203125" style="1" customWidth="1"/>
    <col min="2" max="2" width="12.33203125" style="3" bestFit="1" customWidth="1"/>
    <col min="3" max="3" width="11.83203125" style="3" bestFit="1" customWidth="1"/>
    <col min="4" max="5" width="9.5" style="1" bestFit="1" customWidth="1"/>
    <col min="6" max="8" width="10.6640625" style="1" bestFit="1" customWidth="1"/>
    <col min="9" max="9" width="11.5" style="1" bestFit="1" customWidth="1"/>
    <col min="10" max="11" width="10.6640625" style="1" bestFit="1" customWidth="1"/>
    <col min="12" max="13" width="11.5" style="1" bestFit="1" customWidth="1"/>
    <col min="14" max="16384" width="9.1640625" style="1"/>
  </cols>
  <sheetData>
    <row r="1" spans="1:13" ht="14.25" customHeight="1" thickBot="1" x14ac:dyDescent="0.2">
      <c r="A1" s="350" t="s">
        <v>53</v>
      </c>
      <c r="B1" s="352" t="s">
        <v>35</v>
      </c>
      <c r="C1" s="352"/>
      <c r="D1" s="70" t="s">
        <v>153</v>
      </c>
      <c r="E1" s="70"/>
      <c r="F1" s="71" t="s">
        <v>154</v>
      </c>
      <c r="G1" s="71"/>
      <c r="H1" s="78" t="s">
        <v>28</v>
      </c>
      <c r="I1" s="78" t="s">
        <v>28</v>
      </c>
      <c r="J1" s="288"/>
      <c r="K1" s="288"/>
      <c r="L1" s="214" t="s">
        <v>46</v>
      </c>
      <c r="M1" s="215">
        <v>199991</v>
      </c>
    </row>
    <row r="2" spans="1:13" ht="14.25" customHeight="1" x14ac:dyDescent="0.15">
      <c r="A2" s="353"/>
      <c r="B2" s="354" t="s">
        <v>110</v>
      </c>
      <c r="C2" s="354" t="s">
        <v>191</v>
      </c>
      <c r="D2" s="72" t="s">
        <v>110</v>
      </c>
      <c r="E2" s="72" t="s">
        <v>191</v>
      </c>
      <c r="F2" s="73" t="s">
        <v>110</v>
      </c>
      <c r="G2" s="73" t="s">
        <v>191</v>
      </c>
      <c r="H2" s="80" t="s">
        <v>110</v>
      </c>
      <c r="I2" s="80" t="s">
        <v>191</v>
      </c>
      <c r="J2" s="288"/>
      <c r="K2" s="288"/>
      <c r="L2" s="363"/>
      <c r="M2" s="364"/>
    </row>
    <row r="3" spans="1:13" ht="14.25" customHeight="1" thickBot="1" x14ac:dyDescent="0.2">
      <c r="A3" s="355" t="s">
        <v>53</v>
      </c>
      <c r="B3" s="356">
        <f>Phasing!C16</f>
        <v>167417.60000000001</v>
      </c>
      <c r="C3" s="356">
        <f>B3/450</f>
        <v>372.03911111111114</v>
      </c>
      <c r="D3" s="74">
        <f>Phasing!E16</f>
        <v>20280</v>
      </c>
      <c r="E3" s="74">
        <f>D3/450</f>
        <v>45.06666666666667</v>
      </c>
      <c r="F3" s="75">
        <v>0</v>
      </c>
      <c r="G3" s="75">
        <f>F3/1000</f>
        <v>0</v>
      </c>
      <c r="H3" s="106">
        <f>B3+D3+F3</f>
        <v>187697.6</v>
      </c>
      <c r="I3" s="106">
        <f>C3+E3+G3</f>
        <v>417.1057777777778</v>
      </c>
      <c r="J3" s="288"/>
      <c r="K3" s="288"/>
      <c r="L3" s="363"/>
      <c r="M3" s="364"/>
    </row>
    <row r="4" spans="1:13" ht="14.25" customHeight="1" thickBot="1" x14ac:dyDescent="0.2">
      <c r="A4" s="357" t="s">
        <v>179</v>
      </c>
      <c r="B4" s="359">
        <f>SUM(B3:B3)</f>
        <v>167417.60000000001</v>
      </c>
      <c r="C4" s="359">
        <f>C3</f>
        <v>372.03911111111114</v>
      </c>
      <c r="D4" s="76">
        <f>SUM(D3:D3)</f>
        <v>20280</v>
      </c>
      <c r="E4" s="76">
        <f>E3</f>
        <v>45.06666666666667</v>
      </c>
      <c r="F4" s="77">
        <f>SUM(F3:F3)</f>
        <v>0</v>
      </c>
      <c r="G4" s="77">
        <f>G3</f>
        <v>0</v>
      </c>
      <c r="H4" s="106">
        <f>SUM(H3:H3)</f>
        <v>187697.6</v>
      </c>
      <c r="I4" s="106">
        <f>SUM(I3:I3)</f>
        <v>417.1057777777778</v>
      </c>
      <c r="J4" s="288"/>
      <c r="K4" s="288"/>
      <c r="L4" s="363"/>
      <c r="M4" s="364"/>
    </row>
    <row r="5" spans="1:13" ht="14.25" customHeight="1" x14ac:dyDescent="0.15">
      <c r="A5" s="288"/>
      <c r="B5" s="289"/>
      <c r="C5" s="289"/>
      <c r="D5" s="288"/>
      <c r="E5" s="288"/>
      <c r="F5" s="288"/>
      <c r="G5" s="288"/>
      <c r="H5" s="288"/>
      <c r="I5" s="288"/>
      <c r="J5" s="288"/>
      <c r="K5" s="288"/>
      <c r="L5" s="288"/>
      <c r="M5" s="288"/>
    </row>
    <row r="6" spans="1:13" ht="14.25" customHeight="1" x14ac:dyDescent="0.15">
      <c r="A6" s="326"/>
      <c r="B6" s="327"/>
      <c r="C6" s="327" t="s">
        <v>68</v>
      </c>
      <c r="D6" s="328" t="s">
        <v>35</v>
      </c>
      <c r="E6" s="327"/>
      <c r="F6" s="327"/>
      <c r="G6" s="88" t="s">
        <v>153</v>
      </c>
      <c r="H6" s="88"/>
      <c r="I6" s="88"/>
      <c r="J6" s="89" t="s">
        <v>154</v>
      </c>
      <c r="K6" s="89"/>
      <c r="L6" s="89"/>
      <c r="M6" s="89"/>
    </row>
    <row r="7" spans="1:13" ht="14.25" customHeight="1" x14ac:dyDescent="0.15">
      <c r="A7" s="326"/>
      <c r="B7" s="328" t="s">
        <v>19</v>
      </c>
      <c r="C7" s="328" t="s">
        <v>88</v>
      </c>
      <c r="D7" s="328">
        <v>2021</v>
      </c>
      <c r="E7" s="328">
        <f>D7+1</f>
        <v>2022</v>
      </c>
      <c r="F7" s="328">
        <f t="shared" ref="F7:M7" si="0">E7+1</f>
        <v>2023</v>
      </c>
      <c r="G7" s="88">
        <f t="shared" si="0"/>
        <v>2024</v>
      </c>
      <c r="H7" s="88">
        <f t="shared" si="0"/>
        <v>2025</v>
      </c>
      <c r="I7" s="88">
        <f t="shared" si="0"/>
        <v>2026</v>
      </c>
      <c r="J7" s="89">
        <f t="shared" si="0"/>
        <v>2027</v>
      </c>
      <c r="K7" s="89">
        <f t="shared" si="0"/>
        <v>2028</v>
      </c>
      <c r="L7" s="89">
        <f t="shared" si="0"/>
        <v>2029</v>
      </c>
      <c r="M7" s="89">
        <f t="shared" si="0"/>
        <v>2030</v>
      </c>
    </row>
    <row r="8" spans="1:13" ht="18" customHeight="1" x14ac:dyDescent="0.15">
      <c r="A8" s="329" t="s">
        <v>11</v>
      </c>
      <c r="B8" s="327"/>
      <c r="C8" s="327"/>
      <c r="D8" s="327"/>
      <c r="E8" s="327"/>
      <c r="F8" s="327"/>
      <c r="G8" s="88"/>
      <c r="H8" s="88"/>
      <c r="I8" s="88"/>
      <c r="J8" s="89"/>
      <c r="K8" s="89"/>
      <c r="L8" s="89"/>
      <c r="M8" s="89"/>
    </row>
    <row r="9" spans="1:13" x14ac:dyDescent="0.15">
      <c r="A9" s="303" t="s">
        <v>12</v>
      </c>
      <c r="B9" s="331">
        <v>0.02</v>
      </c>
      <c r="C9" s="331"/>
      <c r="D9" s="332"/>
      <c r="E9" s="332"/>
      <c r="F9" s="332"/>
      <c r="G9" s="88"/>
      <c r="H9" s="88"/>
      <c r="I9" s="88"/>
      <c r="J9" s="89"/>
      <c r="K9" s="89"/>
      <c r="L9" s="89"/>
      <c r="M9" s="89"/>
    </row>
    <row r="10" spans="1:13" x14ac:dyDescent="0.15">
      <c r="A10" s="330" t="s">
        <v>186</v>
      </c>
      <c r="B10" s="331"/>
      <c r="C10" s="331"/>
      <c r="D10" s="333">
        <f>D12*Assumptions!$V$15</f>
        <v>93820.840329951345</v>
      </c>
      <c r="E10" s="333">
        <f>E12*Assumptions!$V$15</f>
        <v>93820.840329951345</v>
      </c>
      <c r="F10" s="333">
        <f>F12*Assumptions!$V$15</f>
        <v>0</v>
      </c>
      <c r="G10" s="90">
        <f>G12*Assumptions!$V$15</f>
        <v>11364.914094404729</v>
      </c>
      <c r="H10" s="90">
        <f>H12*Assumptions!$V$15</f>
        <v>11364.914094404729</v>
      </c>
      <c r="I10" s="90">
        <f>I12*Assumptions!$V$15</f>
        <v>0</v>
      </c>
      <c r="J10" s="87">
        <f>J12*Assumptions!$V$15</f>
        <v>0</v>
      </c>
      <c r="K10" s="87">
        <f>K12*Assumptions!$V$15</f>
        <v>0</v>
      </c>
      <c r="L10" s="266">
        <f>L12*Assumptions!$V$15</f>
        <v>0</v>
      </c>
      <c r="M10" s="266">
        <f>M12*Assumptions!$V$15</f>
        <v>0</v>
      </c>
    </row>
    <row r="11" spans="1:13" x14ac:dyDescent="0.15">
      <c r="A11" s="330" t="s">
        <v>190</v>
      </c>
      <c r="B11" s="331"/>
      <c r="C11" s="331"/>
      <c r="D11" s="333">
        <f>D10</f>
        <v>93820.840329951345</v>
      </c>
      <c r="E11" s="333">
        <f>D11+E10</f>
        <v>187641.68065990269</v>
      </c>
      <c r="F11" s="333">
        <f t="shared" ref="F11:M11" si="1">E11+F10</f>
        <v>187641.68065990269</v>
      </c>
      <c r="G11" s="90">
        <f t="shared" si="1"/>
        <v>199006.59475430741</v>
      </c>
      <c r="H11" s="90">
        <f t="shared" si="1"/>
        <v>210371.50884871214</v>
      </c>
      <c r="I11" s="90">
        <f t="shared" si="1"/>
        <v>210371.50884871214</v>
      </c>
      <c r="J11" s="87">
        <f t="shared" si="1"/>
        <v>210371.50884871214</v>
      </c>
      <c r="K11" s="87">
        <f t="shared" si="1"/>
        <v>210371.50884871214</v>
      </c>
      <c r="L11" s="87">
        <f t="shared" si="1"/>
        <v>210371.50884871214</v>
      </c>
      <c r="M11" s="87">
        <f t="shared" si="1"/>
        <v>210371.50884871214</v>
      </c>
    </row>
    <row r="12" spans="1:13" x14ac:dyDescent="0.15">
      <c r="A12" s="330" t="s">
        <v>289</v>
      </c>
      <c r="B12" s="331"/>
      <c r="C12" s="331"/>
      <c r="D12" s="333">
        <f>$B$3/2</f>
        <v>83708.800000000003</v>
      </c>
      <c r="E12" s="333">
        <f>$B$3/2</f>
        <v>83708.800000000003</v>
      </c>
      <c r="F12" s="333"/>
      <c r="G12" s="90">
        <f>$D$3/2</f>
        <v>10140</v>
      </c>
      <c r="H12" s="90">
        <f>$D$3/2</f>
        <v>10140</v>
      </c>
      <c r="I12" s="90"/>
      <c r="J12" s="87">
        <f>$F$3/2</f>
        <v>0</v>
      </c>
      <c r="K12" s="87">
        <f>$F$3/2</f>
        <v>0</v>
      </c>
      <c r="L12" s="89"/>
      <c r="M12" s="89"/>
    </row>
    <row r="13" spans="1:13" x14ac:dyDescent="0.15">
      <c r="A13" s="330" t="s">
        <v>290</v>
      </c>
      <c r="B13" s="331"/>
      <c r="C13" s="331"/>
      <c r="D13" s="333">
        <f>D12</f>
        <v>83708.800000000003</v>
      </c>
      <c r="E13" s="333">
        <f>D13+E12</f>
        <v>167417.60000000001</v>
      </c>
      <c r="F13" s="333">
        <f t="shared" ref="F13:M13" si="2">E13+F12</f>
        <v>167417.60000000001</v>
      </c>
      <c r="G13" s="90">
        <f t="shared" si="2"/>
        <v>177557.6</v>
      </c>
      <c r="H13" s="90">
        <f t="shared" si="2"/>
        <v>187697.6</v>
      </c>
      <c r="I13" s="90">
        <f t="shared" si="2"/>
        <v>187697.6</v>
      </c>
      <c r="J13" s="87">
        <f t="shared" si="2"/>
        <v>187697.6</v>
      </c>
      <c r="K13" s="87">
        <f t="shared" si="2"/>
        <v>187697.6</v>
      </c>
      <c r="L13" s="87">
        <f t="shared" si="2"/>
        <v>187697.6</v>
      </c>
      <c r="M13" s="87">
        <f t="shared" si="2"/>
        <v>187697.6</v>
      </c>
    </row>
    <row r="14" spans="1:13" x14ac:dyDescent="0.15">
      <c r="A14" s="303" t="s">
        <v>189</v>
      </c>
      <c r="B14" s="331"/>
      <c r="C14" s="331"/>
      <c r="D14" s="333"/>
      <c r="E14" s="333"/>
      <c r="F14" s="333">
        <f>B4-Phasing!G33</f>
        <v>147137.60000000001</v>
      </c>
      <c r="G14" s="90">
        <f>F14</f>
        <v>147137.60000000001</v>
      </c>
      <c r="H14" s="90">
        <f>G14+Phasing!G33</f>
        <v>167417.60000000001</v>
      </c>
      <c r="I14" s="90">
        <f>H14+D3</f>
        <v>187697.6</v>
      </c>
      <c r="J14" s="87">
        <f>I14</f>
        <v>187697.6</v>
      </c>
      <c r="K14" s="87">
        <f>J14+F3</f>
        <v>187697.6</v>
      </c>
      <c r="L14" s="87">
        <f>K14</f>
        <v>187697.6</v>
      </c>
      <c r="M14" s="87">
        <f>L14</f>
        <v>187697.6</v>
      </c>
    </row>
    <row r="15" spans="1:13" x14ac:dyDescent="0.15">
      <c r="A15" s="303" t="s">
        <v>191</v>
      </c>
      <c r="B15" s="331"/>
      <c r="C15" s="331"/>
      <c r="D15" s="333"/>
      <c r="E15" s="333"/>
      <c r="F15" s="333">
        <f>C4</f>
        <v>372.03911111111114</v>
      </c>
      <c r="G15" s="90">
        <f>F15</f>
        <v>372.03911111111114</v>
      </c>
      <c r="H15" s="90">
        <f>G15</f>
        <v>372.03911111111114</v>
      </c>
      <c r="I15" s="90">
        <f>H15+E4</f>
        <v>417.1057777777778</v>
      </c>
      <c r="J15" s="87">
        <f>I15</f>
        <v>417.1057777777778</v>
      </c>
      <c r="K15" s="87">
        <f>J15</f>
        <v>417.1057777777778</v>
      </c>
      <c r="L15" s="87">
        <f t="shared" ref="L15:M15" si="3">K15</f>
        <v>417.1057777777778</v>
      </c>
      <c r="M15" s="87">
        <f t="shared" si="3"/>
        <v>417.1057777777778</v>
      </c>
    </row>
    <row r="16" spans="1:13" ht="14.25" customHeight="1" x14ac:dyDescent="0.15">
      <c r="A16" s="303" t="s">
        <v>45</v>
      </c>
      <c r="B16" s="331">
        <f>Assumptions!C33</f>
        <v>0.06</v>
      </c>
      <c r="C16" s="327"/>
      <c r="D16" s="327"/>
      <c r="E16" s="327"/>
      <c r="F16" s="327"/>
      <c r="G16" s="88"/>
      <c r="H16" s="88"/>
      <c r="I16" s="88"/>
      <c r="J16" s="89"/>
      <c r="K16" s="89"/>
      <c r="L16" s="89"/>
      <c r="M16" s="89"/>
    </row>
    <row r="17" spans="1:15" ht="14.25" customHeight="1" thickBot="1" x14ac:dyDescent="0.2">
      <c r="A17" s="360" t="s">
        <v>141</v>
      </c>
      <c r="B17" s="361"/>
      <c r="C17" s="361"/>
      <c r="D17" s="361">
        <f>Assumptions!C42</f>
        <v>105</v>
      </c>
      <c r="E17" s="361">
        <f>D17*(1+$B$9)</f>
        <v>107.10000000000001</v>
      </c>
      <c r="F17" s="362">
        <f t="shared" ref="F17:M17" si="4">E17*(1+$B$9)</f>
        <v>109.242</v>
      </c>
      <c r="G17" s="107">
        <f t="shared" si="4"/>
        <v>111.42684000000001</v>
      </c>
      <c r="H17" s="107">
        <f t="shared" si="4"/>
        <v>113.65537680000001</v>
      </c>
      <c r="I17" s="107">
        <f t="shared" si="4"/>
        <v>115.92848433600001</v>
      </c>
      <c r="J17" s="108">
        <f t="shared" si="4"/>
        <v>118.24705402272001</v>
      </c>
      <c r="K17" s="108">
        <f t="shared" si="4"/>
        <v>120.61199510317441</v>
      </c>
      <c r="L17" s="108">
        <f t="shared" si="4"/>
        <v>123.0242350052379</v>
      </c>
      <c r="M17" s="108">
        <f t="shared" si="4"/>
        <v>125.48471970534266</v>
      </c>
    </row>
    <row r="18" spans="1:15" ht="18" customHeight="1" x14ac:dyDescent="0.15">
      <c r="A18" s="340" t="s">
        <v>0</v>
      </c>
      <c r="B18" s="341"/>
      <c r="C18" s="342"/>
      <c r="D18" s="342"/>
      <c r="E18" s="342"/>
      <c r="F18" s="342"/>
      <c r="G18" s="98"/>
      <c r="H18" s="98"/>
      <c r="I18" s="98"/>
      <c r="J18" s="99"/>
      <c r="K18" s="99"/>
      <c r="L18" s="99"/>
      <c r="M18" s="99"/>
    </row>
    <row r="19" spans="1:15" ht="14.25" customHeight="1" x14ac:dyDescent="0.15">
      <c r="A19" s="330" t="s">
        <v>87</v>
      </c>
      <c r="B19" s="327"/>
      <c r="C19" s="343"/>
      <c r="D19" s="343"/>
      <c r="E19" s="343"/>
      <c r="F19" s="343">
        <f>F17*F15*365</f>
        <v>14834438.250240004</v>
      </c>
      <c r="G19" s="100">
        <f>G17*G15*365</f>
        <v>15131127.015244804</v>
      </c>
      <c r="H19" s="100">
        <f>H17*H15*365</f>
        <v>15433749.555549698</v>
      </c>
      <c r="I19" s="100">
        <f t="shared" ref="I19:M19" si="5">I17*I15*365</f>
        <v>17649370.828331668</v>
      </c>
      <c r="J19" s="101">
        <f t="shared" si="5"/>
        <v>18002358.244898301</v>
      </c>
      <c r="K19" s="101">
        <f t="shared" si="5"/>
        <v>18362405.409796268</v>
      </c>
      <c r="L19" s="101">
        <f t="shared" si="5"/>
        <v>18729653.517992195</v>
      </c>
      <c r="M19" s="101">
        <f t="shared" si="5"/>
        <v>19104246.588352036</v>
      </c>
    </row>
    <row r="20" spans="1:15" ht="14.25" customHeight="1" x14ac:dyDescent="0.15">
      <c r="A20" s="330" t="s">
        <v>182</v>
      </c>
      <c r="B20" s="331">
        <f>Assumptions!C21</f>
        <v>0.3</v>
      </c>
      <c r="C20" s="343"/>
      <c r="D20" s="343"/>
      <c r="E20" s="343"/>
      <c r="F20" s="343">
        <f>$B$20*F19</f>
        <v>4450331.4750720011</v>
      </c>
      <c r="G20" s="100">
        <f t="shared" ref="G20:M20" si="6">$B$20*G19</f>
        <v>4539338.1045734407</v>
      </c>
      <c r="H20" s="100">
        <f t="shared" si="6"/>
        <v>4630124.8666649088</v>
      </c>
      <c r="I20" s="100">
        <f t="shared" si="6"/>
        <v>5294811.2484995006</v>
      </c>
      <c r="J20" s="101">
        <f t="shared" si="6"/>
        <v>5400707.4734694902</v>
      </c>
      <c r="K20" s="101">
        <f t="shared" si="6"/>
        <v>5508721.6229388798</v>
      </c>
      <c r="L20" s="101">
        <f t="shared" si="6"/>
        <v>5618896.0553976586</v>
      </c>
      <c r="M20" s="101">
        <f t="shared" si="6"/>
        <v>5731273.9765056102</v>
      </c>
    </row>
    <row r="21" spans="1:15" ht="14.25" customHeight="1" thickBot="1" x14ac:dyDescent="0.2">
      <c r="A21" s="344" t="s">
        <v>5</v>
      </c>
      <c r="B21" s="339"/>
      <c r="C21" s="345"/>
      <c r="D21" s="346">
        <f t="shared" ref="D21:E21" si="7">D19-D20</f>
        <v>0</v>
      </c>
      <c r="E21" s="346">
        <f t="shared" si="7"/>
        <v>0</v>
      </c>
      <c r="F21" s="346">
        <f>F19-F20</f>
        <v>10384106.775168002</v>
      </c>
      <c r="G21" s="102">
        <f t="shared" ref="G21:M21" si="8">G19-G20</f>
        <v>10591788.910671365</v>
      </c>
      <c r="H21" s="102">
        <f t="shared" si="8"/>
        <v>10803624.688884789</v>
      </c>
      <c r="I21" s="102">
        <f t="shared" si="8"/>
        <v>12354559.579832166</v>
      </c>
      <c r="J21" s="103">
        <f t="shared" si="8"/>
        <v>12601650.77142881</v>
      </c>
      <c r="K21" s="103">
        <f t="shared" si="8"/>
        <v>12853683.786857389</v>
      </c>
      <c r="L21" s="103">
        <f t="shared" si="8"/>
        <v>13110757.462594535</v>
      </c>
      <c r="M21" s="103">
        <f t="shared" si="8"/>
        <v>13372972.611846425</v>
      </c>
    </row>
    <row r="22" spans="1:15" ht="18" customHeight="1" x14ac:dyDescent="0.15">
      <c r="A22" s="340" t="s">
        <v>2</v>
      </c>
      <c r="B22" s="341"/>
      <c r="C22" s="343"/>
      <c r="D22" s="343"/>
      <c r="E22" s="343"/>
      <c r="F22" s="343"/>
      <c r="G22" s="100"/>
      <c r="H22" s="100"/>
      <c r="I22" s="100"/>
      <c r="J22" s="101"/>
      <c r="K22" s="101"/>
      <c r="L22" s="101"/>
      <c r="M22" s="101"/>
    </row>
    <row r="23" spans="1:15" ht="14.25" customHeight="1" x14ac:dyDescent="0.15">
      <c r="A23" s="330" t="s">
        <v>187</v>
      </c>
      <c r="B23" s="289"/>
      <c r="C23" s="343"/>
      <c r="D23" s="347">
        <v>200</v>
      </c>
      <c r="E23" s="347">
        <f>D23*(1+$B$9)</f>
        <v>204</v>
      </c>
      <c r="F23" s="347">
        <f t="shared" ref="F23:M23" si="9">E23*(1+$B$9)</f>
        <v>208.08</v>
      </c>
      <c r="G23" s="92">
        <f t="shared" si="9"/>
        <v>212.24160000000001</v>
      </c>
      <c r="H23" s="92">
        <f t="shared" si="9"/>
        <v>216.48643200000001</v>
      </c>
      <c r="I23" s="92">
        <f t="shared" si="9"/>
        <v>220.81616064000002</v>
      </c>
      <c r="J23" s="93">
        <f t="shared" si="9"/>
        <v>225.23248385280002</v>
      </c>
      <c r="K23" s="93">
        <f t="shared" si="9"/>
        <v>229.73713352985601</v>
      </c>
      <c r="L23" s="93">
        <f t="shared" si="9"/>
        <v>234.33187620045314</v>
      </c>
      <c r="M23" s="93">
        <f t="shared" si="9"/>
        <v>239.0185137244622</v>
      </c>
    </row>
    <row r="24" spans="1:15" ht="14.25" customHeight="1" x14ac:dyDescent="0.15">
      <c r="A24" s="330" t="s">
        <v>188</v>
      </c>
      <c r="B24" s="327"/>
      <c r="C24" s="343"/>
      <c r="D24" s="343">
        <f>-D10*D23</f>
        <v>-18764168.065990269</v>
      </c>
      <c r="E24" s="343">
        <f t="shared" ref="E24:M24" si="10">-E10*E23</f>
        <v>-19139451.427310076</v>
      </c>
      <c r="F24" s="343">
        <f t="shared" si="10"/>
        <v>0</v>
      </c>
      <c r="G24" s="100">
        <f t="shared" si="10"/>
        <v>-2412107.5512590106</v>
      </c>
      <c r="H24" s="100">
        <f t="shared" si="10"/>
        <v>-2460349.7022841908</v>
      </c>
      <c r="I24" s="100">
        <f t="shared" si="10"/>
        <v>0</v>
      </c>
      <c r="J24" s="101">
        <f t="shared" si="10"/>
        <v>0</v>
      </c>
      <c r="K24" s="101">
        <f t="shared" si="10"/>
        <v>0</v>
      </c>
      <c r="L24" s="101">
        <f t="shared" si="10"/>
        <v>0</v>
      </c>
      <c r="M24" s="101">
        <f t="shared" si="10"/>
        <v>0</v>
      </c>
      <c r="O24" s="199"/>
    </row>
    <row r="25" spans="1:15" ht="14.25" customHeight="1" x14ac:dyDescent="0.15">
      <c r="A25" s="330" t="s">
        <v>14</v>
      </c>
      <c r="B25" s="365">
        <v>0.11</v>
      </c>
      <c r="C25" s="343">
        <f>$B$25*SUM($D$24:$F$24)/3</f>
        <v>-1389799.3814210128</v>
      </c>
      <c r="D25" s="343">
        <f t="shared" ref="D25:E25" si="11">$B$25*SUM($D$24:$F$24)/3</f>
        <v>-1389799.3814210128</v>
      </c>
      <c r="E25" s="343">
        <f t="shared" si="11"/>
        <v>-1389799.3814210128</v>
      </c>
      <c r="F25" s="343">
        <f>$B$25*SUM($G$24:$I$24)/3</f>
        <v>-178656.76596325074</v>
      </c>
      <c r="G25" s="100">
        <f t="shared" ref="G25:H25" si="12">$B$25*SUM($G$24:$I$24)/3</f>
        <v>-178656.76596325074</v>
      </c>
      <c r="H25" s="100">
        <f t="shared" si="12"/>
        <v>-178656.76596325074</v>
      </c>
      <c r="I25" s="100">
        <f>$B$25*SUM($J$24:$M$24)/3</f>
        <v>0</v>
      </c>
      <c r="J25" s="101">
        <f t="shared" ref="J25:K25" si="13">$B$25*SUM($J$24:$M$24)/3</f>
        <v>0</v>
      </c>
      <c r="K25" s="101">
        <f t="shared" si="13"/>
        <v>0</v>
      </c>
      <c r="L25" s="101">
        <v>0</v>
      </c>
      <c r="M25" s="101">
        <v>0</v>
      </c>
      <c r="O25" s="199"/>
    </row>
    <row r="26" spans="1:15" ht="14.25" customHeight="1" thickBot="1" x14ac:dyDescent="0.2">
      <c r="A26" s="344" t="s">
        <v>3</v>
      </c>
      <c r="B26" s="348"/>
      <c r="C26" s="346">
        <f>SUM(C24:C25)</f>
        <v>-1389799.3814210128</v>
      </c>
      <c r="D26" s="346">
        <f t="shared" ref="D26:M26" si="14">D24+D25</f>
        <v>-20153967.447411284</v>
      </c>
      <c r="E26" s="346">
        <f t="shared" si="14"/>
        <v>-20529250.808731087</v>
      </c>
      <c r="F26" s="346">
        <f t="shared" si="14"/>
        <v>-178656.76596325074</v>
      </c>
      <c r="G26" s="102">
        <f t="shared" si="14"/>
        <v>-2590764.3172222613</v>
      </c>
      <c r="H26" s="102">
        <f t="shared" si="14"/>
        <v>-2639006.4682474416</v>
      </c>
      <c r="I26" s="102">
        <f t="shared" si="14"/>
        <v>0</v>
      </c>
      <c r="J26" s="103">
        <f t="shared" si="14"/>
        <v>0</v>
      </c>
      <c r="K26" s="103">
        <f t="shared" si="14"/>
        <v>0</v>
      </c>
      <c r="L26" s="103">
        <f t="shared" si="14"/>
        <v>0</v>
      </c>
      <c r="M26" s="103">
        <f t="shared" si="14"/>
        <v>0</v>
      </c>
    </row>
    <row r="27" spans="1:15" ht="18" customHeight="1" x14ac:dyDescent="0.15">
      <c r="A27" s="340" t="s">
        <v>4</v>
      </c>
      <c r="B27" s="341"/>
      <c r="C27" s="342"/>
      <c r="D27" s="342"/>
      <c r="E27" s="342"/>
      <c r="F27" s="342"/>
      <c r="G27" s="98"/>
      <c r="H27" s="98"/>
      <c r="I27" s="98"/>
      <c r="J27" s="99"/>
      <c r="K27" s="99"/>
      <c r="L27" s="99"/>
      <c r="M27" s="99"/>
    </row>
    <row r="28" spans="1:15" ht="14.25" customHeight="1" x14ac:dyDescent="0.15">
      <c r="A28" s="330" t="s">
        <v>5</v>
      </c>
      <c r="B28" s="327"/>
      <c r="C28" s="343"/>
      <c r="D28" s="343"/>
      <c r="E28" s="343"/>
      <c r="F28" s="343">
        <f t="shared" ref="F28:M28" si="15">F21</f>
        <v>10384106.775168002</v>
      </c>
      <c r="G28" s="100">
        <f t="shared" si="15"/>
        <v>10591788.910671365</v>
      </c>
      <c r="H28" s="100">
        <f t="shared" si="15"/>
        <v>10803624.688884789</v>
      </c>
      <c r="I28" s="100">
        <f t="shared" si="15"/>
        <v>12354559.579832166</v>
      </c>
      <c r="J28" s="101">
        <f t="shared" si="15"/>
        <v>12601650.77142881</v>
      </c>
      <c r="K28" s="101">
        <f t="shared" si="15"/>
        <v>12853683.786857389</v>
      </c>
      <c r="L28" s="101">
        <f t="shared" si="15"/>
        <v>13110757.462594535</v>
      </c>
      <c r="M28" s="101">
        <f t="shared" si="15"/>
        <v>13372972.611846425</v>
      </c>
    </row>
    <row r="29" spans="1:15" ht="14.25" customHeight="1" x14ac:dyDescent="0.15">
      <c r="A29" s="330" t="s">
        <v>70</v>
      </c>
      <c r="B29" s="331"/>
      <c r="C29" s="343"/>
      <c r="D29" s="343"/>
      <c r="E29" s="343"/>
      <c r="F29" s="343"/>
      <c r="G29" s="100"/>
      <c r="H29" s="100"/>
      <c r="I29" s="100"/>
      <c r="J29" s="101"/>
      <c r="K29" s="101"/>
      <c r="L29" s="101"/>
      <c r="M29" s="101">
        <f>M28/Assumptions!$C$25</f>
        <v>243144956.57902589</v>
      </c>
    </row>
    <row r="30" spans="1:15" ht="14.25" customHeight="1" x14ac:dyDescent="0.15">
      <c r="A30" s="330" t="s">
        <v>71</v>
      </c>
      <c r="B30" s="331">
        <f>Assumptions!C24</f>
        <v>0.03</v>
      </c>
      <c r="C30" s="343"/>
      <c r="D30" s="343"/>
      <c r="E30" s="343"/>
      <c r="F30" s="343"/>
      <c r="G30" s="100"/>
      <c r="H30" s="100"/>
      <c r="I30" s="100"/>
      <c r="J30" s="101"/>
      <c r="K30" s="101"/>
      <c r="L30" s="101"/>
      <c r="M30" s="101">
        <f>-B30*M29</f>
        <v>-7294348.6973707769</v>
      </c>
    </row>
    <row r="31" spans="1:15" ht="14.25" customHeight="1" thickBot="1" x14ac:dyDescent="0.2">
      <c r="A31" s="344" t="s">
        <v>183</v>
      </c>
      <c r="B31" s="339"/>
      <c r="C31" s="345"/>
      <c r="D31" s="345"/>
      <c r="E31" s="345"/>
      <c r="F31" s="345">
        <f>F21+F26</f>
        <v>10205450.009204751</v>
      </c>
      <c r="G31" s="104">
        <f t="shared" ref="G31:M31" si="16">SUM(G28:G30)</f>
        <v>10591788.910671365</v>
      </c>
      <c r="H31" s="104">
        <f t="shared" si="16"/>
        <v>10803624.688884789</v>
      </c>
      <c r="I31" s="104">
        <f t="shared" si="16"/>
        <v>12354559.579832166</v>
      </c>
      <c r="J31" s="105">
        <f t="shared" si="16"/>
        <v>12601650.77142881</v>
      </c>
      <c r="K31" s="105">
        <f t="shared" si="16"/>
        <v>12853683.786857389</v>
      </c>
      <c r="L31" s="105">
        <f t="shared" si="16"/>
        <v>13110757.462594535</v>
      </c>
      <c r="M31" s="105">
        <f t="shared" si="16"/>
        <v>249223580.49350154</v>
      </c>
    </row>
    <row r="32" spans="1:15" ht="18" customHeight="1" x14ac:dyDescent="0.15">
      <c r="A32" s="340" t="s">
        <v>6</v>
      </c>
      <c r="B32" s="327"/>
      <c r="C32" s="343">
        <f>C31+C26</f>
        <v>-1389799.3814210128</v>
      </c>
      <c r="D32" s="343">
        <f>D31+D26</f>
        <v>-20153967.447411284</v>
      </c>
      <c r="E32" s="343">
        <f t="shared" ref="E32:M32" si="17">E31+E26</f>
        <v>-20529250.808731087</v>
      </c>
      <c r="F32" s="343">
        <f t="shared" si="17"/>
        <v>10026793.2432415</v>
      </c>
      <c r="G32" s="100">
        <f t="shared" si="17"/>
        <v>8001024.5934491027</v>
      </c>
      <c r="H32" s="100">
        <f t="shared" si="17"/>
        <v>8164618.2206373475</v>
      </c>
      <c r="I32" s="100">
        <f t="shared" si="17"/>
        <v>12354559.579832166</v>
      </c>
      <c r="J32" s="101">
        <f t="shared" si="17"/>
        <v>12601650.77142881</v>
      </c>
      <c r="K32" s="101">
        <f t="shared" si="17"/>
        <v>12853683.786857389</v>
      </c>
      <c r="L32" s="101">
        <f t="shared" si="17"/>
        <v>13110757.462594535</v>
      </c>
      <c r="M32" s="101">
        <f t="shared" si="17"/>
        <v>249223580.49350154</v>
      </c>
    </row>
    <row r="33" spans="1:13" ht="18" customHeight="1" x14ac:dyDescent="0.15">
      <c r="A33" s="329" t="s">
        <v>20</v>
      </c>
      <c r="B33" s="349">
        <f>C32+NPV(Assumptions!$F$40,D32:M32)</f>
        <v>102473284.80653706</v>
      </c>
      <c r="C33" s="331"/>
      <c r="D33" s="327"/>
      <c r="E33" s="327"/>
      <c r="F33" s="347"/>
      <c r="G33" s="92"/>
      <c r="H33" s="92"/>
      <c r="I33" s="92"/>
      <c r="J33" s="93"/>
      <c r="K33" s="93"/>
      <c r="L33" s="93"/>
      <c r="M33" s="93"/>
    </row>
    <row r="34" spans="1:13" ht="18" customHeight="1" x14ac:dyDescent="0.15">
      <c r="A34" s="329" t="s">
        <v>72</v>
      </c>
      <c r="B34" s="331">
        <f>IRR(C32:M32)</f>
        <v>0.33971173213753225</v>
      </c>
      <c r="C34" s="327"/>
      <c r="D34" s="327"/>
      <c r="E34" s="327"/>
      <c r="F34" s="347"/>
      <c r="G34" s="92"/>
      <c r="H34" s="92"/>
      <c r="I34" s="92"/>
      <c r="J34" s="93"/>
      <c r="K34" s="93"/>
      <c r="L34" s="93"/>
      <c r="M34" s="93"/>
    </row>
    <row r="35" spans="1:13" ht="18" customHeight="1" x14ac:dyDescent="0.15">
      <c r="A35" s="329"/>
      <c r="B35" s="327"/>
      <c r="C35" s="327"/>
      <c r="D35" s="327"/>
      <c r="E35" s="327"/>
      <c r="F35" s="347"/>
      <c r="G35" s="92"/>
      <c r="H35" s="92"/>
      <c r="I35" s="92"/>
      <c r="J35" s="93"/>
      <c r="K35" s="93"/>
      <c r="L35" s="93"/>
      <c r="M35" s="93"/>
    </row>
  </sheetData>
  <pageMargins left="0.5" right="0.5" top="1" bottom="0.5" header="0.5" footer="0.5"/>
  <pageSetup orientation="landscape" r:id="rId1"/>
  <headerFooter alignWithMargins="0">
    <oddHeader>&amp;L&amp;"Arial,Bold"2. Income Statement: Market-rate Rental Housing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9F1F6-F5BB-4001-BC07-92BB8A291D8F}">
  <dimension ref="A1:T32"/>
  <sheetViews>
    <sheetView zoomScaleNormal="100" workbookViewId="0">
      <selection activeCell="L1" sqref="L1:M1"/>
    </sheetView>
  </sheetViews>
  <sheetFormatPr baseColWidth="10" defaultColWidth="9.1640625" defaultRowHeight="13" x14ac:dyDescent="0.15"/>
  <cols>
    <col min="1" max="1" width="38" style="38" bestFit="1" customWidth="1"/>
    <col min="2" max="2" width="13" style="39" bestFit="1" customWidth="1"/>
    <col min="3" max="3" width="10" style="39" bestFit="1" customWidth="1"/>
    <col min="4" max="4" width="10.6640625" style="38" bestFit="1" customWidth="1"/>
    <col min="5" max="13" width="10.1640625" style="38" bestFit="1" customWidth="1"/>
    <col min="14" max="16384" width="9.1640625" style="38"/>
  </cols>
  <sheetData>
    <row r="1" spans="1:20" ht="14" customHeight="1" thickBot="1" x14ac:dyDescent="0.2">
      <c r="A1" s="350" t="s">
        <v>55</v>
      </c>
      <c r="B1" s="352" t="s">
        <v>35</v>
      </c>
      <c r="C1" s="352"/>
      <c r="D1" s="70" t="s">
        <v>153</v>
      </c>
      <c r="E1" s="70"/>
      <c r="F1" s="71" t="s">
        <v>154</v>
      </c>
      <c r="G1" s="71"/>
      <c r="H1" s="78" t="s">
        <v>28</v>
      </c>
      <c r="I1" s="78" t="s">
        <v>28</v>
      </c>
      <c r="J1" s="284"/>
      <c r="K1" s="284"/>
      <c r="L1" s="214" t="s">
        <v>46</v>
      </c>
      <c r="M1" s="215">
        <v>199991</v>
      </c>
    </row>
    <row r="2" spans="1:20" ht="14" customHeight="1" x14ac:dyDescent="0.15">
      <c r="A2" s="353"/>
      <c r="B2" s="354" t="s">
        <v>110</v>
      </c>
      <c r="C2" s="354" t="s">
        <v>278</v>
      </c>
      <c r="D2" s="72" t="s">
        <v>110</v>
      </c>
      <c r="E2" s="72" t="s">
        <v>278</v>
      </c>
      <c r="F2" s="73" t="s">
        <v>110</v>
      </c>
      <c r="G2" s="73" t="s">
        <v>278</v>
      </c>
      <c r="H2" s="80" t="s">
        <v>110</v>
      </c>
      <c r="I2" s="80" t="s">
        <v>278</v>
      </c>
      <c r="J2" s="284"/>
      <c r="K2" s="284"/>
      <c r="L2" s="394"/>
      <c r="M2" s="395"/>
    </row>
    <row r="3" spans="1:20" ht="14" customHeight="1" thickBot="1" x14ac:dyDescent="0.2">
      <c r="A3" s="355" t="s">
        <v>55</v>
      </c>
      <c r="B3" s="356">
        <v>23060</v>
      </c>
      <c r="C3" s="356">
        <v>76</v>
      </c>
      <c r="D3" s="74">
        <v>14733</v>
      </c>
      <c r="E3" s="74">
        <v>49</v>
      </c>
      <c r="F3" s="75">
        <v>13659</v>
      </c>
      <c r="G3" s="75">
        <v>45</v>
      </c>
      <c r="H3" s="106">
        <f>B3+D3+F3</f>
        <v>51452</v>
      </c>
      <c r="I3" s="106">
        <f>C3+E3+G3</f>
        <v>170</v>
      </c>
      <c r="J3" s="394"/>
      <c r="K3" s="394"/>
      <c r="L3" s="394"/>
      <c r="M3" s="395"/>
    </row>
    <row r="4" spans="1:20" ht="14" customHeight="1" thickBot="1" x14ac:dyDescent="0.2">
      <c r="A4" s="357" t="s">
        <v>179</v>
      </c>
      <c r="B4" s="359">
        <f>SUM(B3:B3)</f>
        <v>23060</v>
      </c>
      <c r="C4" s="359">
        <f>C3</f>
        <v>76</v>
      </c>
      <c r="D4" s="76">
        <f>SUM(D3:D3)</f>
        <v>14733</v>
      </c>
      <c r="E4" s="76">
        <f>E3</f>
        <v>49</v>
      </c>
      <c r="F4" s="77">
        <f>SUM(F3:F3)</f>
        <v>13659</v>
      </c>
      <c r="G4" s="77">
        <f>G3</f>
        <v>45</v>
      </c>
      <c r="H4" s="106">
        <f>SUM(H3:H3)</f>
        <v>51452</v>
      </c>
      <c r="I4" s="106">
        <f>SUM(I3:I3)</f>
        <v>170</v>
      </c>
      <c r="J4" s="394"/>
      <c r="K4" s="394"/>
      <c r="L4" s="394"/>
      <c r="M4" s="395"/>
    </row>
    <row r="5" spans="1:20" ht="14" customHeight="1" x14ac:dyDescent="0.15">
      <c r="A5" s="366"/>
      <c r="B5" s="367"/>
      <c r="C5" s="367"/>
      <c r="D5" s="367"/>
      <c r="E5" s="367"/>
      <c r="F5" s="367"/>
      <c r="G5" s="367"/>
      <c r="H5" s="367"/>
      <c r="I5" s="367"/>
      <c r="J5" s="394"/>
      <c r="K5" s="394"/>
      <c r="L5" s="394"/>
      <c r="M5" s="395"/>
    </row>
    <row r="6" spans="1:20" ht="14" customHeight="1" x14ac:dyDescent="0.15">
      <c r="A6" s="284"/>
      <c r="B6" s="285"/>
      <c r="C6" s="368" t="s">
        <v>68</v>
      </c>
      <c r="D6" s="379" t="s">
        <v>35</v>
      </c>
      <c r="E6" s="280"/>
      <c r="F6" s="280"/>
      <c r="G6" s="223" t="s">
        <v>153</v>
      </c>
      <c r="H6" s="224"/>
      <c r="I6" s="224"/>
      <c r="J6" s="198" t="s">
        <v>154</v>
      </c>
      <c r="K6" s="198"/>
      <c r="L6" s="198"/>
      <c r="M6" s="225"/>
      <c r="N6" s="226"/>
      <c r="O6" s="226"/>
      <c r="P6" s="226"/>
      <c r="Q6" s="226"/>
      <c r="R6" s="226"/>
      <c r="S6" s="226"/>
      <c r="T6" s="226"/>
    </row>
    <row r="7" spans="1:20" ht="14" customHeight="1" x14ac:dyDescent="0.15">
      <c r="A7" s="278"/>
      <c r="B7" s="273" t="s">
        <v>19</v>
      </c>
      <c r="C7" s="273" t="s">
        <v>279</v>
      </c>
      <c r="D7" s="380">
        <v>2021</v>
      </c>
      <c r="E7" s="273">
        <f t="shared" ref="E7:M7" si="0">D7+1</f>
        <v>2022</v>
      </c>
      <c r="F7" s="273">
        <f t="shared" si="0"/>
        <v>2023</v>
      </c>
      <c r="G7" s="227">
        <f t="shared" si="0"/>
        <v>2024</v>
      </c>
      <c r="H7" s="110">
        <f t="shared" si="0"/>
        <v>2025</v>
      </c>
      <c r="I7" s="110">
        <f t="shared" si="0"/>
        <v>2026</v>
      </c>
      <c r="J7" s="195">
        <f t="shared" si="0"/>
        <v>2027</v>
      </c>
      <c r="K7" s="114">
        <f t="shared" si="0"/>
        <v>2028</v>
      </c>
      <c r="L7" s="114">
        <f t="shared" si="0"/>
        <v>2029</v>
      </c>
      <c r="M7" s="228">
        <f t="shared" si="0"/>
        <v>2030</v>
      </c>
      <c r="N7" s="229"/>
      <c r="O7" s="229"/>
      <c r="P7" s="229"/>
      <c r="Q7" s="229"/>
      <c r="R7" s="229"/>
      <c r="S7" s="229"/>
      <c r="T7" s="229"/>
    </row>
    <row r="8" spans="1:20" ht="18" customHeight="1" x14ac:dyDescent="0.15">
      <c r="A8" s="280" t="s">
        <v>11</v>
      </c>
      <c r="B8" s="286"/>
      <c r="C8" s="286"/>
      <c r="D8" s="381"/>
      <c r="E8" s="271"/>
      <c r="F8" s="271"/>
      <c r="G8" s="230"/>
      <c r="H8" s="109"/>
      <c r="I8" s="109"/>
      <c r="J8" s="231"/>
      <c r="K8" s="113"/>
      <c r="L8" s="113"/>
      <c r="M8" s="232"/>
      <c r="N8" s="41"/>
      <c r="O8" s="41"/>
      <c r="P8" s="41"/>
      <c r="Q8" s="41"/>
      <c r="R8" s="41"/>
      <c r="S8" s="41"/>
      <c r="T8" s="41"/>
    </row>
    <row r="9" spans="1:20" ht="14" customHeight="1" x14ac:dyDescent="0.15">
      <c r="A9" s="275" t="s">
        <v>12</v>
      </c>
      <c r="B9" s="281">
        <v>0.02</v>
      </c>
      <c r="C9" s="281"/>
      <c r="D9" s="382"/>
      <c r="E9" s="277"/>
      <c r="F9" s="277"/>
      <c r="G9" s="233"/>
      <c r="H9" s="111"/>
      <c r="I9" s="111"/>
      <c r="J9" s="234"/>
      <c r="K9" s="115"/>
      <c r="L9" s="115"/>
      <c r="M9" s="235"/>
      <c r="N9" s="41"/>
      <c r="O9" s="41"/>
      <c r="P9" s="41"/>
      <c r="Q9" s="41"/>
      <c r="R9" s="41"/>
      <c r="S9" s="41"/>
      <c r="T9" s="41"/>
    </row>
    <row r="10" spans="1:20" ht="14" customHeight="1" x14ac:dyDescent="0.15">
      <c r="A10" s="275" t="s">
        <v>274</v>
      </c>
      <c r="B10" s="276"/>
      <c r="C10" s="369"/>
      <c r="D10" s="383">
        <f>$B$3/2</f>
        <v>11530</v>
      </c>
      <c r="E10" s="369">
        <f>$B$3/2</f>
        <v>11530</v>
      </c>
      <c r="F10" s="369"/>
      <c r="G10" s="236">
        <f>$D$3/2</f>
        <v>7366.5</v>
      </c>
      <c r="H10" s="237">
        <f>$D$3/2</f>
        <v>7366.5</v>
      </c>
      <c r="I10" s="237"/>
      <c r="J10" s="196">
        <f>F3/2</f>
        <v>6829.5</v>
      </c>
      <c r="K10" s="238">
        <f>F3/2</f>
        <v>6829.5</v>
      </c>
      <c r="L10" s="238"/>
      <c r="M10" s="239"/>
      <c r="N10" s="41"/>
      <c r="O10" s="41"/>
      <c r="P10" s="41"/>
      <c r="Q10" s="41"/>
      <c r="R10" s="41"/>
      <c r="S10" s="41"/>
      <c r="T10" s="41"/>
    </row>
    <row r="11" spans="1:20" ht="14" customHeight="1" x14ac:dyDescent="0.15">
      <c r="A11" s="275" t="s">
        <v>275</v>
      </c>
      <c r="B11" s="276"/>
      <c r="C11" s="369"/>
      <c r="D11" s="383">
        <f>D10</f>
        <v>11530</v>
      </c>
      <c r="E11" s="369">
        <f>D11+E10</f>
        <v>23060</v>
      </c>
      <c r="F11" s="369">
        <f>E11+F10</f>
        <v>23060</v>
      </c>
      <c r="G11" s="236">
        <f>F11+G10</f>
        <v>30426.5</v>
      </c>
      <c r="H11" s="237">
        <f t="shared" ref="H11:M11" si="1">G11+H10</f>
        <v>37793</v>
      </c>
      <c r="I11" s="237">
        <f t="shared" si="1"/>
        <v>37793</v>
      </c>
      <c r="J11" s="196">
        <f t="shared" si="1"/>
        <v>44622.5</v>
      </c>
      <c r="K11" s="238">
        <f t="shared" si="1"/>
        <v>51452</v>
      </c>
      <c r="L11" s="238">
        <f t="shared" si="1"/>
        <v>51452</v>
      </c>
      <c r="M11" s="239">
        <f t="shared" si="1"/>
        <v>51452</v>
      </c>
      <c r="N11" s="41"/>
      <c r="O11" s="41"/>
      <c r="P11" s="41"/>
      <c r="Q11" s="41"/>
      <c r="R11" s="41"/>
      <c r="S11" s="41"/>
      <c r="T11" s="41"/>
    </row>
    <row r="12" spans="1:20" ht="14" customHeight="1" x14ac:dyDescent="0.15">
      <c r="A12" s="275" t="s">
        <v>280</v>
      </c>
      <c r="B12" s="276"/>
      <c r="C12" s="369"/>
      <c r="D12" s="383"/>
      <c r="E12" s="369"/>
      <c r="F12" s="369">
        <f>C3</f>
        <v>76</v>
      </c>
      <c r="G12" s="236"/>
      <c r="H12" s="237"/>
      <c r="I12" s="237">
        <f>E3</f>
        <v>49</v>
      </c>
      <c r="J12" s="196"/>
      <c r="K12" s="238">
        <v>45</v>
      </c>
      <c r="L12" s="238"/>
      <c r="M12" s="239"/>
      <c r="N12" s="41"/>
      <c r="O12" s="41"/>
      <c r="P12" s="41"/>
      <c r="Q12" s="41"/>
      <c r="R12" s="41"/>
      <c r="S12" s="41"/>
      <c r="T12" s="41"/>
    </row>
    <row r="13" spans="1:20" ht="14" customHeight="1" x14ac:dyDescent="0.15">
      <c r="A13" s="275" t="s">
        <v>281</v>
      </c>
      <c r="B13" s="276"/>
      <c r="C13" s="369"/>
      <c r="D13" s="383"/>
      <c r="E13" s="369"/>
      <c r="F13" s="369">
        <f>F12</f>
        <v>76</v>
      </c>
      <c r="G13" s="236">
        <f t="shared" ref="G13:M13" si="2">F13+G12</f>
        <v>76</v>
      </c>
      <c r="H13" s="237">
        <f t="shared" si="2"/>
        <v>76</v>
      </c>
      <c r="I13" s="237">
        <f t="shared" si="2"/>
        <v>125</v>
      </c>
      <c r="J13" s="196">
        <f t="shared" si="2"/>
        <v>125</v>
      </c>
      <c r="K13" s="238">
        <f t="shared" si="2"/>
        <v>170</v>
      </c>
      <c r="L13" s="238">
        <f t="shared" si="2"/>
        <v>170</v>
      </c>
      <c r="M13" s="239">
        <f t="shared" si="2"/>
        <v>170</v>
      </c>
      <c r="N13" s="41"/>
      <c r="O13" s="41"/>
      <c r="P13" s="41"/>
      <c r="Q13" s="41"/>
      <c r="R13" s="41"/>
      <c r="S13" s="41"/>
      <c r="T13" s="41"/>
    </row>
    <row r="14" spans="1:20" ht="14" customHeight="1" x14ac:dyDescent="0.15">
      <c r="A14" s="275" t="s">
        <v>283</v>
      </c>
      <c r="B14" s="284"/>
      <c r="C14" s="370">
        <v>150</v>
      </c>
      <c r="D14" s="384">
        <f>C14*(1+$B$9)</f>
        <v>153</v>
      </c>
      <c r="E14" s="370">
        <f t="shared" ref="E14:M14" si="3">D14*(1+$B$9)</f>
        <v>156.06</v>
      </c>
      <c r="F14" s="370">
        <f t="shared" si="3"/>
        <v>159.18120000000002</v>
      </c>
      <c r="G14" s="240">
        <f t="shared" si="3"/>
        <v>162.36482400000003</v>
      </c>
      <c r="H14" s="241">
        <f t="shared" si="3"/>
        <v>165.61212048000004</v>
      </c>
      <c r="I14" s="241">
        <f t="shared" si="3"/>
        <v>168.92436288960005</v>
      </c>
      <c r="J14" s="197">
        <f t="shared" si="3"/>
        <v>172.30285014739206</v>
      </c>
      <c r="K14" s="242">
        <f t="shared" si="3"/>
        <v>175.7489071503399</v>
      </c>
      <c r="L14" s="242">
        <f t="shared" si="3"/>
        <v>179.2638852933467</v>
      </c>
      <c r="M14" s="243">
        <f t="shared" si="3"/>
        <v>182.84916299921363</v>
      </c>
      <c r="N14" s="41"/>
      <c r="O14" s="41"/>
      <c r="P14" s="41"/>
      <c r="Q14" s="41"/>
      <c r="R14" s="41"/>
      <c r="S14" s="41"/>
      <c r="T14" s="41"/>
    </row>
    <row r="15" spans="1:20" ht="18" customHeight="1" x14ac:dyDescent="0.15">
      <c r="A15" s="280" t="s">
        <v>5</v>
      </c>
      <c r="B15" s="286"/>
      <c r="C15" s="286"/>
      <c r="D15" s="381"/>
      <c r="E15" s="271"/>
      <c r="F15" s="271"/>
      <c r="G15" s="230"/>
      <c r="H15" s="109"/>
      <c r="I15" s="109"/>
      <c r="J15" s="231"/>
      <c r="K15" s="113"/>
      <c r="L15" s="113"/>
      <c r="M15" s="232"/>
      <c r="N15" s="41"/>
      <c r="O15" s="41"/>
      <c r="P15" s="41"/>
      <c r="Q15" s="41"/>
      <c r="R15" s="41"/>
      <c r="S15" s="41"/>
      <c r="T15" s="41"/>
    </row>
    <row r="16" spans="1:20" ht="14" customHeight="1" x14ac:dyDescent="0.15">
      <c r="A16" s="275" t="s">
        <v>18</v>
      </c>
      <c r="B16" s="276"/>
      <c r="C16" s="370"/>
      <c r="D16" s="385"/>
      <c r="E16" s="386"/>
      <c r="F16" s="370">
        <f>F13*Assumptions!$C$54*12</f>
        <v>136800</v>
      </c>
      <c r="G16" s="240">
        <f>G13*Assumptions!$C$54*12</f>
        <v>136800</v>
      </c>
      <c r="H16" s="241">
        <f>H13*Assumptions!$C$54*12</f>
        <v>136800</v>
      </c>
      <c r="I16" s="241">
        <f>I13*Assumptions!$C$54*12</f>
        <v>225000</v>
      </c>
      <c r="J16" s="197">
        <f>J13*Assumptions!$C$54*12</f>
        <v>225000</v>
      </c>
      <c r="K16" s="242">
        <f>K13*Assumptions!$C$54*12</f>
        <v>306000</v>
      </c>
      <c r="L16" s="242">
        <f>L13*Assumptions!$C$54*12</f>
        <v>306000</v>
      </c>
      <c r="M16" s="243">
        <f>M13*Assumptions!$C$54*12</f>
        <v>306000</v>
      </c>
      <c r="N16" s="41"/>
      <c r="O16" s="41"/>
      <c r="P16" s="41"/>
      <c r="Q16" s="41"/>
      <c r="R16" s="41"/>
      <c r="S16" s="41"/>
      <c r="T16" s="41"/>
    </row>
    <row r="17" spans="1:20" ht="14" customHeight="1" x14ac:dyDescent="0.15">
      <c r="A17" s="275" t="s">
        <v>17</v>
      </c>
      <c r="B17" s="281">
        <v>0.1</v>
      </c>
      <c r="C17" s="370"/>
      <c r="D17" s="384"/>
      <c r="E17" s="370"/>
      <c r="F17" s="387">
        <f>-0.1*F16</f>
        <v>-13680</v>
      </c>
      <c r="G17" s="257">
        <f t="shared" ref="G17:M17" si="4">-0.1*G16</f>
        <v>-13680</v>
      </c>
      <c r="H17" s="258">
        <f t="shared" si="4"/>
        <v>-13680</v>
      </c>
      <c r="I17" s="258">
        <f t="shared" si="4"/>
        <v>-22500</v>
      </c>
      <c r="J17" s="259">
        <f t="shared" si="4"/>
        <v>-22500</v>
      </c>
      <c r="K17" s="260">
        <f t="shared" si="4"/>
        <v>-30600</v>
      </c>
      <c r="L17" s="260">
        <f t="shared" si="4"/>
        <v>-30600</v>
      </c>
      <c r="M17" s="261">
        <f t="shared" si="4"/>
        <v>-30600</v>
      </c>
      <c r="N17" s="41"/>
      <c r="O17" s="41"/>
      <c r="P17" s="41"/>
      <c r="Q17" s="41"/>
      <c r="R17" s="41"/>
      <c r="S17" s="41"/>
      <c r="T17" s="41"/>
    </row>
    <row r="18" spans="1:20" ht="14" customHeight="1" x14ac:dyDescent="0.15">
      <c r="A18" s="371" t="s">
        <v>5</v>
      </c>
      <c r="B18" s="272"/>
      <c r="C18" s="372"/>
      <c r="D18" s="388"/>
      <c r="E18" s="372"/>
      <c r="F18" s="387">
        <f>F16+F17</f>
        <v>123120</v>
      </c>
      <c r="G18" s="257">
        <f t="shared" ref="G18:M18" si="5">G16+G17</f>
        <v>123120</v>
      </c>
      <c r="H18" s="258">
        <f t="shared" si="5"/>
        <v>123120</v>
      </c>
      <c r="I18" s="258">
        <f t="shared" si="5"/>
        <v>202500</v>
      </c>
      <c r="J18" s="259">
        <f t="shared" si="5"/>
        <v>202500</v>
      </c>
      <c r="K18" s="260">
        <f t="shared" si="5"/>
        <v>275400</v>
      </c>
      <c r="L18" s="260">
        <f t="shared" si="5"/>
        <v>275400</v>
      </c>
      <c r="M18" s="261">
        <f t="shared" si="5"/>
        <v>275400</v>
      </c>
      <c r="N18" s="41"/>
      <c r="O18" s="41"/>
      <c r="P18" s="41"/>
      <c r="Q18" s="41"/>
      <c r="R18" s="41"/>
      <c r="S18" s="41"/>
      <c r="T18" s="41"/>
    </row>
    <row r="19" spans="1:20" ht="18" customHeight="1" x14ac:dyDescent="0.15">
      <c r="A19" s="280" t="s">
        <v>2</v>
      </c>
      <c r="B19" s="286"/>
      <c r="C19" s="286"/>
      <c r="D19" s="381"/>
      <c r="E19" s="271"/>
      <c r="F19" s="271"/>
      <c r="G19" s="230"/>
      <c r="H19" s="109"/>
      <c r="I19" s="109"/>
      <c r="J19" s="231"/>
      <c r="K19" s="113"/>
      <c r="L19" s="113"/>
      <c r="M19" s="232"/>
      <c r="N19" s="41"/>
      <c r="O19" s="41"/>
      <c r="P19" s="41"/>
      <c r="Q19" s="41"/>
      <c r="R19" s="41"/>
      <c r="S19" s="41"/>
      <c r="T19" s="41"/>
    </row>
    <row r="20" spans="1:20" ht="18" customHeight="1" x14ac:dyDescent="0.15">
      <c r="A20" s="373" t="s">
        <v>284</v>
      </c>
      <c r="B20" s="276"/>
      <c r="C20" s="370">
        <v>50</v>
      </c>
      <c r="D20" s="385">
        <f>C20*(1+$B$9)</f>
        <v>51</v>
      </c>
      <c r="E20" s="386">
        <f t="shared" ref="E20:M20" si="6">D20*(1+$B$9)</f>
        <v>52.02</v>
      </c>
      <c r="F20" s="370">
        <f t="shared" si="6"/>
        <v>53.060400000000001</v>
      </c>
      <c r="G20" s="240">
        <f t="shared" si="6"/>
        <v>54.121608000000002</v>
      </c>
      <c r="H20" s="241">
        <f t="shared" si="6"/>
        <v>55.204040160000005</v>
      </c>
      <c r="I20" s="241">
        <f t="shared" si="6"/>
        <v>56.308120963200004</v>
      </c>
      <c r="J20" s="197">
        <f t="shared" si="6"/>
        <v>57.434283382464002</v>
      </c>
      <c r="K20" s="242">
        <f t="shared" si="6"/>
        <v>58.582969050113284</v>
      </c>
      <c r="L20" s="242">
        <f t="shared" si="6"/>
        <v>59.754628431115549</v>
      </c>
      <c r="M20" s="243">
        <f t="shared" si="6"/>
        <v>60.949720999737863</v>
      </c>
      <c r="N20" s="41"/>
      <c r="O20" s="41"/>
      <c r="P20" s="41"/>
      <c r="Q20" s="41"/>
      <c r="R20" s="41"/>
      <c r="S20" s="41"/>
      <c r="T20" s="41"/>
    </row>
    <row r="21" spans="1:20" ht="14" customHeight="1" x14ac:dyDescent="0.15">
      <c r="A21" s="373" t="s">
        <v>285</v>
      </c>
      <c r="B21" s="374"/>
      <c r="C21" s="370"/>
      <c r="D21" s="385">
        <f>-D20*D10</f>
        <v>-588030</v>
      </c>
      <c r="E21" s="386">
        <f t="shared" ref="E21:M21" si="7">-E20*E10</f>
        <v>-599790.60000000009</v>
      </c>
      <c r="F21" s="370">
        <f t="shared" si="7"/>
        <v>0</v>
      </c>
      <c r="G21" s="240">
        <f t="shared" si="7"/>
        <v>-398686.82533200004</v>
      </c>
      <c r="H21" s="241">
        <f t="shared" si="7"/>
        <v>-406660.56183864002</v>
      </c>
      <c r="I21" s="241">
        <f t="shared" si="7"/>
        <v>0</v>
      </c>
      <c r="J21" s="197">
        <f t="shared" si="7"/>
        <v>-392247.43836053793</v>
      </c>
      <c r="K21" s="242">
        <f t="shared" si="7"/>
        <v>-400092.38712774869</v>
      </c>
      <c r="L21" s="242">
        <f t="shared" si="7"/>
        <v>0</v>
      </c>
      <c r="M21" s="243">
        <f t="shared" si="7"/>
        <v>0</v>
      </c>
      <c r="N21" s="41"/>
      <c r="O21" s="41"/>
      <c r="P21" s="41"/>
      <c r="Q21" s="41"/>
      <c r="R21" s="41"/>
      <c r="S21" s="41"/>
      <c r="T21" s="41"/>
    </row>
    <row r="22" spans="1:20" ht="14" customHeight="1" x14ac:dyDescent="0.15">
      <c r="A22" s="275" t="s">
        <v>14</v>
      </c>
      <c r="B22" s="281">
        <v>0.1</v>
      </c>
      <c r="C22" s="370">
        <f>$B$22*SUM($D$21:$F$21)/3</f>
        <v>-39594.020000000004</v>
      </c>
      <c r="D22" s="385">
        <f>$B$22*SUM($D$21:$F$21)/3</f>
        <v>-39594.020000000004</v>
      </c>
      <c r="E22" s="386">
        <f>$B$22*SUM($D$21:$F$21)/3</f>
        <v>-39594.020000000004</v>
      </c>
      <c r="F22" s="370">
        <f>$B$22*SUM($G$21:$I$21)/3</f>
        <v>-26844.912905688005</v>
      </c>
      <c r="G22" s="240">
        <f t="shared" ref="G22:H22" si="8">$B$22*SUM($G$21:$I$21)/3</f>
        <v>-26844.912905688005</v>
      </c>
      <c r="H22" s="241">
        <f t="shared" si="8"/>
        <v>-26844.912905688005</v>
      </c>
      <c r="I22" s="241">
        <f>$B$22*SUM($J$21:$M$21)/3</f>
        <v>-26411.327516276218</v>
      </c>
      <c r="J22" s="197">
        <f>$B$22*SUM($J$21:$M$21)/3</f>
        <v>-26411.327516276218</v>
      </c>
      <c r="K22" s="242">
        <f>$B$22*SUM($J$21:$M$21)/3</f>
        <v>-26411.327516276218</v>
      </c>
      <c r="L22" s="242">
        <f t="shared" ref="L22:M22" si="9">$B$22*L21</f>
        <v>0</v>
      </c>
      <c r="M22" s="243">
        <f t="shared" si="9"/>
        <v>0</v>
      </c>
      <c r="N22" s="41"/>
      <c r="O22" s="41"/>
      <c r="P22" s="41"/>
      <c r="Q22" s="41"/>
      <c r="R22" s="41"/>
      <c r="S22" s="41"/>
      <c r="T22" s="41"/>
    </row>
    <row r="23" spans="1:20" ht="14" customHeight="1" x14ac:dyDescent="0.15">
      <c r="A23" s="371" t="s">
        <v>3</v>
      </c>
      <c r="B23" s="272"/>
      <c r="C23" s="370">
        <f t="shared" ref="C23:M23" si="10">C21+C22</f>
        <v>-39594.020000000004</v>
      </c>
      <c r="D23" s="385">
        <f t="shared" si="10"/>
        <v>-627624.02</v>
      </c>
      <c r="E23" s="386">
        <f t="shared" si="10"/>
        <v>-639384.62000000011</v>
      </c>
      <c r="F23" s="370">
        <f t="shared" si="10"/>
        <v>-26844.912905688005</v>
      </c>
      <c r="G23" s="240">
        <f t="shared" si="10"/>
        <v>-425531.73823768803</v>
      </c>
      <c r="H23" s="241">
        <f t="shared" si="10"/>
        <v>-433505.47474432801</v>
      </c>
      <c r="I23" s="241">
        <f t="shared" si="10"/>
        <v>-26411.327516276218</v>
      </c>
      <c r="J23" s="197">
        <f t="shared" si="10"/>
        <v>-418658.76587681414</v>
      </c>
      <c r="K23" s="242">
        <f t="shared" si="10"/>
        <v>-426503.71464402491</v>
      </c>
      <c r="L23" s="242">
        <f t="shared" si="10"/>
        <v>0</v>
      </c>
      <c r="M23" s="243">
        <f t="shared" si="10"/>
        <v>0</v>
      </c>
      <c r="N23" s="41"/>
      <c r="O23" s="41"/>
      <c r="P23" s="41"/>
      <c r="Q23" s="41"/>
      <c r="R23" s="41"/>
      <c r="S23" s="41"/>
      <c r="T23" s="41"/>
    </row>
    <row r="24" spans="1:20" ht="18" customHeight="1" x14ac:dyDescent="0.15">
      <c r="A24" s="280" t="s">
        <v>4</v>
      </c>
      <c r="B24" s="286"/>
      <c r="C24" s="375"/>
      <c r="D24" s="389"/>
      <c r="E24" s="390"/>
      <c r="F24" s="390"/>
      <c r="G24" s="244"/>
      <c r="H24" s="245"/>
      <c r="I24" s="245"/>
      <c r="J24" s="246"/>
      <c r="K24" s="247"/>
      <c r="L24" s="247"/>
      <c r="M24" s="248"/>
      <c r="N24" s="41"/>
      <c r="O24" s="41"/>
      <c r="P24" s="41"/>
      <c r="Q24" s="41"/>
      <c r="R24" s="41"/>
      <c r="S24" s="41"/>
      <c r="T24" s="41"/>
    </row>
    <row r="25" spans="1:20" ht="14" customHeight="1" x14ac:dyDescent="0.15">
      <c r="A25" s="275" t="s">
        <v>5</v>
      </c>
      <c r="B25" s="276"/>
      <c r="C25" s="370"/>
      <c r="D25" s="385"/>
      <c r="E25" s="386"/>
      <c r="F25" s="370">
        <f>F18</f>
        <v>123120</v>
      </c>
      <c r="G25" s="240">
        <f t="shared" ref="G25:M25" si="11">G18</f>
        <v>123120</v>
      </c>
      <c r="H25" s="241">
        <f t="shared" si="11"/>
        <v>123120</v>
      </c>
      <c r="I25" s="241">
        <f t="shared" si="11"/>
        <v>202500</v>
      </c>
      <c r="J25" s="197">
        <f t="shared" si="11"/>
        <v>202500</v>
      </c>
      <c r="K25" s="242">
        <f t="shared" si="11"/>
        <v>275400</v>
      </c>
      <c r="L25" s="242">
        <f t="shared" si="11"/>
        <v>275400</v>
      </c>
      <c r="M25" s="243">
        <f t="shared" si="11"/>
        <v>275400</v>
      </c>
      <c r="N25" s="41"/>
      <c r="O25" s="41"/>
      <c r="P25" s="41"/>
      <c r="Q25" s="41"/>
      <c r="R25" s="41"/>
      <c r="S25" s="41"/>
      <c r="T25" s="41"/>
    </row>
    <row r="26" spans="1:20" ht="14" customHeight="1" x14ac:dyDescent="0.15">
      <c r="A26" s="275" t="s">
        <v>276</v>
      </c>
      <c r="B26" s="281">
        <v>0.1</v>
      </c>
      <c r="C26" s="370"/>
      <c r="D26" s="385"/>
      <c r="E26" s="386"/>
      <c r="F26" s="370"/>
      <c r="G26" s="240"/>
      <c r="H26" s="241"/>
      <c r="I26" s="241"/>
      <c r="J26" s="197"/>
      <c r="K26" s="242"/>
      <c r="L26" s="242"/>
      <c r="M26" s="243"/>
      <c r="N26" s="41"/>
      <c r="O26" s="41"/>
      <c r="P26" s="41"/>
      <c r="Q26" s="41"/>
      <c r="R26" s="41"/>
      <c r="S26" s="41"/>
      <c r="T26" s="41"/>
    </row>
    <row r="27" spans="1:20" ht="14" customHeight="1" x14ac:dyDescent="0.15">
      <c r="A27" s="275" t="s">
        <v>70</v>
      </c>
      <c r="B27" s="276"/>
      <c r="C27" s="370">
        <f t="shared" ref="C27:L27" si="12">C18/$B$26</f>
        <v>0</v>
      </c>
      <c r="D27" s="385">
        <f t="shared" si="12"/>
        <v>0</v>
      </c>
      <c r="E27" s="386">
        <f t="shared" si="12"/>
        <v>0</v>
      </c>
      <c r="F27" s="370">
        <f t="shared" si="12"/>
        <v>1231200</v>
      </c>
      <c r="G27" s="240">
        <f t="shared" si="12"/>
        <v>1231200</v>
      </c>
      <c r="H27" s="241">
        <f t="shared" si="12"/>
        <v>1231200</v>
      </c>
      <c r="I27" s="241">
        <f t="shared" si="12"/>
        <v>2025000</v>
      </c>
      <c r="J27" s="197">
        <f t="shared" si="12"/>
        <v>2025000</v>
      </c>
      <c r="K27" s="242">
        <f t="shared" si="12"/>
        <v>2754000</v>
      </c>
      <c r="L27" s="242">
        <f t="shared" si="12"/>
        <v>2754000</v>
      </c>
      <c r="M27" s="243">
        <f>M18/$B$26</f>
        <v>2754000</v>
      </c>
      <c r="N27" s="41"/>
      <c r="O27" s="41"/>
      <c r="P27" s="41"/>
      <c r="Q27" s="41"/>
      <c r="R27" s="41"/>
      <c r="S27" s="41"/>
      <c r="T27" s="41"/>
    </row>
    <row r="28" spans="1:20" ht="14" customHeight="1" x14ac:dyDescent="0.15">
      <c r="A28" s="275" t="s">
        <v>277</v>
      </c>
      <c r="B28" s="281">
        <v>0.03</v>
      </c>
      <c r="C28" s="370"/>
      <c r="D28" s="385"/>
      <c r="E28" s="386"/>
      <c r="F28" s="370"/>
      <c r="G28" s="240"/>
      <c r="H28" s="241"/>
      <c r="I28" s="241"/>
      <c r="J28" s="197"/>
      <c r="K28" s="242"/>
      <c r="L28" s="242"/>
      <c r="M28" s="243">
        <f>-B28*M27</f>
        <v>-82620</v>
      </c>
      <c r="N28" s="41"/>
      <c r="O28" s="41"/>
      <c r="P28" s="41"/>
      <c r="Q28" s="41"/>
      <c r="R28" s="41"/>
      <c r="S28" s="41"/>
      <c r="T28" s="41"/>
    </row>
    <row r="29" spans="1:20" ht="14" customHeight="1" x14ac:dyDescent="0.15">
      <c r="A29" s="275" t="s">
        <v>3</v>
      </c>
      <c r="B29" s="276"/>
      <c r="C29" s="370">
        <f>C23</f>
        <v>-39594.020000000004</v>
      </c>
      <c r="D29" s="385">
        <f t="shared" ref="D29:M29" si="13">D23</f>
        <v>-627624.02</v>
      </c>
      <c r="E29" s="386">
        <f t="shared" si="13"/>
        <v>-639384.62000000011</v>
      </c>
      <c r="F29" s="370">
        <f t="shared" si="13"/>
        <v>-26844.912905688005</v>
      </c>
      <c r="G29" s="240">
        <f t="shared" si="13"/>
        <v>-425531.73823768803</v>
      </c>
      <c r="H29" s="241">
        <f t="shared" si="13"/>
        <v>-433505.47474432801</v>
      </c>
      <c r="I29" s="241">
        <f t="shared" si="13"/>
        <v>-26411.327516276218</v>
      </c>
      <c r="J29" s="197">
        <f t="shared" si="13"/>
        <v>-418658.76587681414</v>
      </c>
      <c r="K29" s="242">
        <f t="shared" si="13"/>
        <v>-426503.71464402491</v>
      </c>
      <c r="L29" s="242">
        <f t="shared" si="13"/>
        <v>0</v>
      </c>
      <c r="M29" s="243">
        <f t="shared" si="13"/>
        <v>0</v>
      </c>
      <c r="N29" s="41"/>
      <c r="O29" s="41"/>
      <c r="P29" s="41"/>
      <c r="Q29" s="41"/>
      <c r="R29" s="41"/>
      <c r="S29" s="41"/>
      <c r="T29" s="41"/>
    </row>
    <row r="30" spans="1:20" ht="14" customHeight="1" thickBot="1" x14ac:dyDescent="0.2">
      <c r="A30" s="279" t="s">
        <v>6</v>
      </c>
      <c r="B30" s="276"/>
      <c r="C30" s="370">
        <f>C25+C29</f>
        <v>-39594.020000000004</v>
      </c>
      <c r="D30" s="385">
        <f t="shared" ref="D30:L30" si="14">D25+D29</f>
        <v>-627624.02</v>
      </c>
      <c r="E30" s="386">
        <f t="shared" si="14"/>
        <v>-639384.62000000011</v>
      </c>
      <c r="F30" s="370">
        <f t="shared" si="14"/>
        <v>96275.087094311995</v>
      </c>
      <c r="G30" s="240">
        <f t="shared" si="14"/>
        <v>-302411.73823768803</v>
      </c>
      <c r="H30" s="241">
        <f t="shared" si="14"/>
        <v>-310385.47474432801</v>
      </c>
      <c r="I30" s="241">
        <f t="shared" si="14"/>
        <v>176088.67248372379</v>
      </c>
      <c r="J30" s="197">
        <f t="shared" si="14"/>
        <v>-216158.76587681414</v>
      </c>
      <c r="K30" s="242">
        <f t="shared" si="14"/>
        <v>-151103.71464402491</v>
      </c>
      <c r="L30" s="242">
        <f t="shared" si="14"/>
        <v>275400</v>
      </c>
      <c r="M30" s="243">
        <f t="shared" ref="M30" si="15">SUM(M25:M29)</f>
        <v>2946780</v>
      </c>
      <c r="N30" s="41"/>
      <c r="O30" s="41"/>
      <c r="P30" s="41"/>
      <c r="Q30" s="41"/>
      <c r="R30" s="41"/>
      <c r="S30" s="41"/>
      <c r="T30" s="41"/>
    </row>
    <row r="31" spans="1:20" ht="18" customHeight="1" x14ac:dyDescent="0.15">
      <c r="A31" s="376" t="s">
        <v>20</v>
      </c>
      <c r="B31" s="377">
        <f>C30+NPV(Assumptions!$F$40,'7. Surface Parking'!D30:M30)</f>
        <v>-294631.12032781629</v>
      </c>
      <c r="C31" s="378"/>
      <c r="D31" s="391"/>
      <c r="E31" s="392"/>
      <c r="F31" s="392"/>
      <c r="G31" s="249"/>
      <c r="H31" s="250"/>
      <c r="I31" s="250"/>
      <c r="J31" s="251"/>
      <c r="K31" s="252"/>
      <c r="L31" s="252"/>
      <c r="M31" s="253"/>
      <c r="N31" s="41"/>
      <c r="O31" s="41"/>
      <c r="P31" s="41"/>
      <c r="Q31" s="41"/>
      <c r="R31" s="41"/>
      <c r="S31" s="41"/>
      <c r="T31" s="41"/>
    </row>
    <row r="32" spans="1:20" ht="18" customHeight="1" x14ac:dyDescent="0.15">
      <c r="A32" s="282" t="s">
        <v>72</v>
      </c>
      <c r="B32" s="283">
        <f>+IRR(C30:M30,0)</f>
        <v>6.8619374208288342E-2</v>
      </c>
      <c r="C32" s="272"/>
      <c r="D32" s="393"/>
      <c r="E32" s="278"/>
      <c r="F32" s="278"/>
      <c r="G32" s="254"/>
      <c r="H32" s="112"/>
      <c r="I32" s="112"/>
      <c r="J32" s="255"/>
      <c r="K32" s="116"/>
      <c r="L32" s="116"/>
      <c r="M32" s="256"/>
      <c r="N32" s="41"/>
      <c r="O32" s="41"/>
      <c r="P32" s="41"/>
      <c r="Q32" s="41"/>
      <c r="R32" s="41"/>
      <c r="S32" s="41"/>
      <c r="T32" s="41"/>
    </row>
  </sheetData>
  <pageMargins left="0.5" right="0.5" top="1" bottom="0.5" header="0.5" footer="0.5"/>
  <pageSetup paperSize="4" orientation="landscape" r:id="rId1"/>
  <headerFooter alignWithMargins="0">
    <oddHeader>&amp;L&amp;"Arial,Bold"10. Income Statement: Structured Parking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38581-29CB-4E66-9F67-C6420729C39C}">
  <dimension ref="A1:W62"/>
  <sheetViews>
    <sheetView zoomScale="82" workbookViewId="0">
      <selection activeCell="O29" sqref="O29"/>
    </sheetView>
  </sheetViews>
  <sheetFormatPr baseColWidth="10" defaultColWidth="9" defaultRowHeight="13" x14ac:dyDescent="0.15"/>
  <cols>
    <col min="1" max="1" width="11.83203125" style="1" bestFit="1" customWidth="1"/>
    <col min="2" max="2" width="20.1640625" style="1" bestFit="1" customWidth="1"/>
    <col min="3" max="3" width="10" style="1" bestFit="1" customWidth="1"/>
    <col min="4" max="4" width="9" style="1"/>
    <col min="5" max="5" width="20.1640625" style="1" bestFit="1" customWidth="1"/>
    <col min="6" max="6" width="9" style="1"/>
    <col min="7" max="8" width="9" style="288"/>
    <col min="9" max="9" width="9" style="1"/>
    <col min="10" max="10" width="12.5" style="1" bestFit="1" customWidth="1"/>
    <col min="11" max="11" width="9.1640625" style="1" bestFit="1" customWidth="1"/>
    <col min="12" max="12" width="11" style="1" bestFit="1" customWidth="1"/>
    <col min="13" max="13" width="9.1640625" style="1" bestFit="1" customWidth="1"/>
    <col min="14" max="14" width="11" style="1" bestFit="1" customWidth="1"/>
    <col min="15" max="15" width="12" style="1" bestFit="1" customWidth="1"/>
    <col min="16" max="16" width="12.5" style="1" bestFit="1" customWidth="1"/>
    <col min="17" max="17" width="9.1640625" style="1" bestFit="1" customWidth="1"/>
    <col min="18" max="20" width="9" style="1"/>
    <col min="21" max="21" width="9.83203125" style="1" bestFit="1" customWidth="1"/>
    <col min="22" max="16384" width="9" style="1"/>
  </cols>
  <sheetData>
    <row r="1" spans="1:22" ht="16" x14ac:dyDescent="0.2">
      <c r="A1" s="398" t="s">
        <v>15</v>
      </c>
      <c r="B1" s="288"/>
      <c r="C1" s="288"/>
      <c r="D1" s="288"/>
      <c r="E1" s="288"/>
      <c r="F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</row>
    <row r="2" spans="1:22" x14ac:dyDescent="0.15">
      <c r="A2" s="288"/>
      <c r="B2" s="288"/>
      <c r="C2" s="288"/>
      <c r="D2" s="288"/>
      <c r="E2" s="288"/>
      <c r="F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</row>
    <row r="3" spans="1:22" x14ac:dyDescent="0.15">
      <c r="A3" s="288"/>
      <c r="B3" s="288"/>
      <c r="C3" s="288"/>
      <c r="D3" s="288"/>
      <c r="E3" s="288"/>
      <c r="F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</row>
    <row r="4" spans="1:22" ht="14" x14ac:dyDescent="0.15">
      <c r="A4" s="288"/>
      <c r="B4" s="399" t="s">
        <v>102</v>
      </c>
      <c r="C4" s="400"/>
      <c r="D4" s="288"/>
      <c r="E4" s="399" t="s">
        <v>136</v>
      </c>
      <c r="F4" s="400"/>
      <c r="I4" s="401" t="s">
        <v>156</v>
      </c>
      <c r="J4" s="402"/>
      <c r="K4" s="401"/>
      <c r="L4" s="401"/>
      <c r="M4" s="403"/>
      <c r="N4" s="403"/>
      <c r="O4" s="403"/>
      <c r="P4" s="403"/>
      <c r="Q4" s="403"/>
      <c r="R4" s="403"/>
      <c r="S4" s="403"/>
      <c r="T4" s="403"/>
      <c r="U4" s="403"/>
    </row>
    <row r="5" spans="1:22" ht="14" x14ac:dyDescent="0.15">
      <c r="A5" s="288"/>
      <c r="B5" s="404" t="s">
        <v>89</v>
      </c>
      <c r="C5" s="405">
        <v>256</v>
      </c>
      <c r="D5" s="288"/>
      <c r="E5" s="404" t="s">
        <v>89</v>
      </c>
      <c r="F5" s="405">
        <v>0</v>
      </c>
      <c r="I5" s="406" t="s">
        <v>143</v>
      </c>
      <c r="J5" s="406" t="s">
        <v>157</v>
      </c>
      <c r="K5" s="406" t="s">
        <v>146</v>
      </c>
      <c r="L5" s="407" t="s">
        <v>147</v>
      </c>
      <c r="M5" s="408" t="s">
        <v>148</v>
      </c>
      <c r="N5" s="408"/>
      <c r="O5" s="406" t="s">
        <v>149</v>
      </c>
      <c r="P5" s="406"/>
      <c r="Q5" s="406" t="s">
        <v>150</v>
      </c>
      <c r="R5" s="406"/>
      <c r="S5" s="406" t="s">
        <v>151</v>
      </c>
      <c r="T5" s="406"/>
      <c r="U5" s="406" t="s">
        <v>28</v>
      </c>
    </row>
    <row r="6" spans="1:22" ht="14" x14ac:dyDescent="0.15">
      <c r="A6" s="288"/>
      <c r="B6" s="404" t="s">
        <v>90</v>
      </c>
      <c r="C6" s="409">
        <v>2.5</v>
      </c>
      <c r="D6" s="288"/>
      <c r="E6" s="404" t="s">
        <v>90</v>
      </c>
      <c r="F6" s="409">
        <v>0</v>
      </c>
      <c r="I6" s="410" t="s">
        <v>109</v>
      </c>
      <c r="J6" s="410">
        <v>2</v>
      </c>
      <c r="K6" s="411">
        <v>53152</v>
      </c>
      <c r="L6" s="412">
        <v>4</v>
      </c>
      <c r="M6" s="413">
        <v>53796</v>
      </c>
      <c r="N6" s="413"/>
      <c r="O6" s="411">
        <v>129000</v>
      </c>
      <c r="P6" s="411"/>
      <c r="Q6" s="411"/>
      <c r="R6" s="411"/>
      <c r="S6" s="411"/>
      <c r="T6" s="411"/>
      <c r="U6" s="414">
        <f t="shared" ref="U6:U14" si="0">SUM(M6:S6)</f>
        <v>182796</v>
      </c>
    </row>
    <row r="7" spans="1:22" ht="14" x14ac:dyDescent="0.15">
      <c r="A7" s="288"/>
      <c r="B7" s="404" t="s">
        <v>91</v>
      </c>
      <c r="C7" s="405">
        <v>600</v>
      </c>
      <c r="D7" s="288"/>
      <c r="E7" s="404" t="s">
        <v>91</v>
      </c>
      <c r="F7" s="405">
        <v>600</v>
      </c>
      <c r="I7" s="410" t="s">
        <v>116</v>
      </c>
      <c r="J7" s="410">
        <v>2</v>
      </c>
      <c r="K7" s="411">
        <v>53152</v>
      </c>
      <c r="L7" s="412">
        <v>4</v>
      </c>
      <c r="M7" s="413">
        <v>36903</v>
      </c>
      <c r="N7" s="413"/>
      <c r="O7" s="411">
        <v>110709</v>
      </c>
      <c r="P7" s="411"/>
      <c r="Q7" s="411"/>
      <c r="R7" s="411"/>
      <c r="S7" s="411"/>
      <c r="T7" s="411"/>
      <c r="U7" s="414">
        <f t="shared" si="0"/>
        <v>147612</v>
      </c>
    </row>
    <row r="8" spans="1:22" ht="14" x14ac:dyDescent="0.15">
      <c r="A8" s="288"/>
      <c r="B8" s="404"/>
      <c r="C8" s="415"/>
      <c r="D8" s="288"/>
      <c r="E8" s="404"/>
      <c r="F8" s="415"/>
      <c r="I8" s="410" t="s">
        <v>121</v>
      </c>
      <c r="J8" s="410">
        <v>2</v>
      </c>
      <c r="K8" s="411">
        <v>53152</v>
      </c>
      <c r="L8" s="412">
        <v>4</v>
      </c>
      <c r="M8" s="413">
        <v>36903</v>
      </c>
      <c r="N8" s="413"/>
      <c r="O8" s="411">
        <v>110709</v>
      </c>
      <c r="P8" s="411"/>
      <c r="Q8" s="411"/>
      <c r="R8" s="411"/>
      <c r="S8" s="411"/>
      <c r="T8" s="411"/>
      <c r="U8" s="414">
        <f t="shared" si="0"/>
        <v>147612</v>
      </c>
    </row>
    <row r="9" spans="1:22" ht="14" x14ac:dyDescent="0.15">
      <c r="A9" s="288"/>
      <c r="B9" s="404" t="s">
        <v>92</v>
      </c>
      <c r="C9" s="405">
        <v>766</v>
      </c>
      <c r="D9" s="288"/>
      <c r="E9" s="404" t="s">
        <v>92</v>
      </c>
      <c r="F9" s="405">
        <v>0</v>
      </c>
      <c r="I9" s="410" t="s">
        <v>122</v>
      </c>
      <c r="J9" s="410">
        <v>2</v>
      </c>
      <c r="K9" s="411">
        <v>34616</v>
      </c>
      <c r="L9" s="412">
        <v>3</v>
      </c>
      <c r="M9" s="413">
        <v>68294</v>
      </c>
      <c r="N9" s="413"/>
      <c r="O9" s="411"/>
      <c r="P9" s="411"/>
      <c r="Q9" s="411"/>
      <c r="R9" s="411"/>
      <c r="S9" s="411"/>
      <c r="T9" s="411"/>
      <c r="U9" s="414">
        <f t="shared" si="0"/>
        <v>68294</v>
      </c>
    </row>
    <row r="10" spans="1:22" ht="14" x14ac:dyDescent="0.15">
      <c r="A10" s="288"/>
      <c r="B10" s="404" t="s">
        <v>172</v>
      </c>
      <c r="C10" s="409">
        <v>2.2999999999999998</v>
      </c>
      <c r="D10" s="288"/>
      <c r="E10" s="404" t="s">
        <v>172</v>
      </c>
      <c r="F10" s="409">
        <v>0</v>
      </c>
      <c r="I10" s="410" t="s">
        <v>123</v>
      </c>
      <c r="J10" s="410">
        <v>1</v>
      </c>
      <c r="K10" s="411">
        <v>98796</v>
      </c>
      <c r="L10" s="412">
        <v>10</v>
      </c>
      <c r="M10" s="413">
        <v>75736</v>
      </c>
      <c r="N10" s="413"/>
      <c r="O10" s="411">
        <v>460899</v>
      </c>
      <c r="P10" s="411"/>
      <c r="Q10" s="411"/>
      <c r="R10" s="411"/>
      <c r="S10" s="411">
        <v>183922</v>
      </c>
      <c r="T10" s="411"/>
      <c r="U10" s="414">
        <f t="shared" si="0"/>
        <v>720557</v>
      </c>
    </row>
    <row r="11" spans="1:22" ht="14" x14ac:dyDescent="0.15">
      <c r="A11" s="288"/>
      <c r="B11" s="404" t="s">
        <v>93</v>
      </c>
      <c r="C11" s="405">
        <v>800</v>
      </c>
      <c r="D11" s="288"/>
      <c r="E11" s="404" t="s">
        <v>93</v>
      </c>
      <c r="F11" s="405">
        <v>800</v>
      </c>
      <c r="I11" s="410" t="s">
        <v>127</v>
      </c>
      <c r="J11" s="410">
        <v>3</v>
      </c>
      <c r="K11" s="411">
        <v>57462</v>
      </c>
      <c r="L11" s="412">
        <v>9</v>
      </c>
      <c r="M11" s="413">
        <v>42860</v>
      </c>
      <c r="N11" s="413"/>
      <c r="O11" s="411">
        <v>342880</v>
      </c>
      <c r="P11" s="411"/>
      <c r="Q11" s="411"/>
      <c r="R11" s="411"/>
      <c r="S11" s="411"/>
      <c r="T11" s="411"/>
      <c r="U11" s="414">
        <f t="shared" si="0"/>
        <v>385740</v>
      </c>
    </row>
    <row r="12" spans="1:22" ht="14" x14ac:dyDescent="0.15">
      <c r="A12" s="288"/>
      <c r="B12" s="404"/>
      <c r="C12" s="415"/>
      <c r="D12" s="288"/>
      <c r="E12" s="404"/>
      <c r="F12" s="415"/>
      <c r="I12" s="410" t="s">
        <v>130</v>
      </c>
      <c r="J12" s="410">
        <v>3</v>
      </c>
      <c r="K12" s="411">
        <v>87744</v>
      </c>
      <c r="L12" s="412">
        <v>10</v>
      </c>
      <c r="M12" s="413">
        <v>85866</v>
      </c>
      <c r="N12" s="413"/>
      <c r="O12" s="411">
        <v>255018</v>
      </c>
      <c r="P12" s="411"/>
      <c r="Q12" s="411">
        <v>207921</v>
      </c>
      <c r="R12" s="411"/>
      <c r="S12" s="411"/>
      <c r="T12" s="411"/>
      <c r="U12" s="414">
        <f t="shared" si="0"/>
        <v>548805</v>
      </c>
    </row>
    <row r="13" spans="1:22" ht="14" x14ac:dyDescent="0.15">
      <c r="A13" s="288"/>
      <c r="B13" s="404" t="s">
        <v>94</v>
      </c>
      <c r="C13" s="405">
        <v>548</v>
      </c>
      <c r="D13" s="288"/>
      <c r="E13" s="404" t="s">
        <v>94</v>
      </c>
      <c r="F13" s="416">
        <f>Phasing!J13</f>
        <v>369.16907137681159</v>
      </c>
      <c r="I13" s="410" t="s">
        <v>132</v>
      </c>
      <c r="J13" s="410">
        <v>1</v>
      </c>
      <c r="K13" s="411">
        <v>120000</v>
      </c>
      <c r="L13" s="412">
        <v>33</v>
      </c>
      <c r="M13" s="413">
        <v>24297</v>
      </c>
      <c r="N13" s="413"/>
      <c r="O13" s="411">
        <v>50352</v>
      </c>
      <c r="P13" s="411"/>
      <c r="Q13" s="411">
        <v>242970</v>
      </c>
      <c r="R13" s="411"/>
      <c r="S13" s="411"/>
      <c r="T13" s="411"/>
      <c r="U13" s="414">
        <f t="shared" si="0"/>
        <v>317619</v>
      </c>
    </row>
    <row r="14" spans="1:22" ht="14" x14ac:dyDescent="0.15">
      <c r="A14" s="288"/>
      <c r="B14" s="404" t="s">
        <v>173</v>
      </c>
      <c r="C14" s="409">
        <v>2.4</v>
      </c>
      <c r="D14" s="288"/>
      <c r="E14" s="404" t="s">
        <v>173</v>
      </c>
      <c r="F14" s="409">
        <f>C14*F26</f>
        <v>1.44</v>
      </c>
      <c r="I14" s="410" t="s">
        <v>133</v>
      </c>
      <c r="J14" s="410" t="s">
        <v>161</v>
      </c>
      <c r="K14" s="411">
        <v>24033</v>
      </c>
      <c r="L14" s="412">
        <v>39</v>
      </c>
      <c r="M14" s="413">
        <v>21340</v>
      </c>
      <c r="N14" s="413"/>
      <c r="O14" s="411">
        <v>276047</v>
      </c>
      <c r="P14" s="411"/>
      <c r="Q14" s="411">
        <v>495027</v>
      </c>
      <c r="R14" s="411"/>
      <c r="S14" s="411">
        <v>50700</v>
      </c>
      <c r="T14" s="411"/>
      <c r="U14" s="414">
        <f t="shared" si="0"/>
        <v>843114</v>
      </c>
    </row>
    <row r="15" spans="1:22" ht="14" x14ac:dyDescent="0.15">
      <c r="A15" s="288"/>
      <c r="B15" s="404" t="s">
        <v>95</v>
      </c>
      <c r="C15" s="417">
        <v>1150</v>
      </c>
      <c r="D15" s="288"/>
      <c r="E15" s="404" t="s">
        <v>95</v>
      </c>
      <c r="F15" s="417">
        <v>1150</v>
      </c>
      <c r="I15" s="418" t="s">
        <v>28</v>
      </c>
      <c r="J15" s="418"/>
      <c r="K15" s="414">
        <f>SUM(K6:K14)</f>
        <v>582107</v>
      </c>
      <c r="L15" s="419">
        <f>SUM(L6:L14)</f>
        <v>116</v>
      </c>
      <c r="M15" s="414">
        <f>SUM(M6:M14)</f>
        <v>445995</v>
      </c>
      <c r="N15" s="420"/>
      <c r="O15" s="414">
        <f>SUM(O6:O14)</f>
        <v>1735614</v>
      </c>
      <c r="P15" s="414"/>
      <c r="Q15" s="414">
        <f>SUM(Q6:Q14)</f>
        <v>945918</v>
      </c>
      <c r="R15" s="414"/>
      <c r="S15" s="414">
        <f>SUM(S6:S14)</f>
        <v>234622</v>
      </c>
      <c r="T15" s="414"/>
      <c r="U15" s="414">
        <f>SUM(U6:U14)</f>
        <v>3362149</v>
      </c>
      <c r="V15" s="421">
        <f>U15/U28</f>
        <v>1.1208002065487899</v>
      </c>
    </row>
    <row r="16" spans="1:22" x14ac:dyDescent="0.15">
      <c r="A16" s="288"/>
      <c r="B16" s="404"/>
      <c r="C16" s="415"/>
      <c r="D16" s="288"/>
      <c r="E16" s="404"/>
      <c r="F16" s="415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</row>
    <row r="17" spans="1:23" ht="14" x14ac:dyDescent="0.15">
      <c r="A17" s="288"/>
      <c r="B17" s="404" t="s">
        <v>96</v>
      </c>
      <c r="C17" s="422">
        <f>C5+C9+C13</f>
        <v>1570</v>
      </c>
      <c r="D17" s="288"/>
      <c r="E17" s="404" t="s">
        <v>134</v>
      </c>
      <c r="F17" s="422">
        <f>F5+F9+F13</f>
        <v>369.16907137681159</v>
      </c>
      <c r="I17" s="401" t="s">
        <v>171</v>
      </c>
      <c r="J17" s="402"/>
      <c r="K17" s="401"/>
      <c r="L17" s="401"/>
      <c r="M17" s="403"/>
      <c r="N17" s="403"/>
      <c r="O17" s="403"/>
      <c r="P17" s="403"/>
      <c r="Q17" s="403"/>
      <c r="R17" s="403"/>
      <c r="S17" s="403"/>
      <c r="T17" s="403"/>
      <c r="U17" s="403"/>
    </row>
    <row r="18" spans="1:23" ht="14" x14ac:dyDescent="0.15">
      <c r="A18" s="288"/>
      <c r="B18" s="404" t="s">
        <v>97</v>
      </c>
      <c r="C18" s="417">
        <f>C7*C5+C11*C9+C13*C15</f>
        <v>1396600</v>
      </c>
      <c r="D18" s="288"/>
      <c r="E18" s="404" t="s">
        <v>97</v>
      </c>
      <c r="F18" s="417">
        <f>F7*F5+F11*F9+F13*F15</f>
        <v>424544.43208333332</v>
      </c>
      <c r="I18" s="406" t="s">
        <v>143</v>
      </c>
      <c r="J18" s="406" t="s">
        <v>157</v>
      </c>
      <c r="K18" s="406" t="s">
        <v>146</v>
      </c>
      <c r="L18" s="407" t="s">
        <v>147</v>
      </c>
      <c r="M18" s="408" t="s">
        <v>148</v>
      </c>
      <c r="N18" s="408" t="s">
        <v>114</v>
      </c>
      <c r="O18" s="406" t="s">
        <v>149</v>
      </c>
      <c r="P18" s="408" t="s">
        <v>114</v>
      </c>
      <c r="Q18" s="406" t="s">
        <v>150</v>
      </c>
      <c r="R18" s="408" t="s">
        <v>114</v>
      </c>
      <c r="S18" s="406" t="s">
        <v>151</v>
      </c>
      <c r="T18" s="408" t="s">
        <v>114</v>
      </c>
      <c r="U18" s="406" t="s">
        <v>28</v>
      </c>
    </row>
    <row r="19" spans="1:23" ht="14" x14ac:dyDescent="0.15">
      <c r="A19" s="288"/>
      <c r="B19" s="404"/>
      <c r="C19" s="415"/>
      <c r="D19" s="288"/>
      <c r="E19" s="404"/>
      <c r="F19" s="415"/>
      <c r="I19" s="410" t="s">
        <v>109</v>
      </c>
      <c r="J19" s="410">
        <v>2</v>
      </c>
      <c r="K19" s="411">
        <v>53152</v>
      </c>
      <c r="L19" s="412">
        <v>4</v>
      </c>
      <c r="M19" s="413">
        <f t="shared" ref="M19:M27" si="1">M6*$M$30</f>
        <v>53796</v>
      </c>
      <c r="N19" s="423">
        <f t="shared" ref="N19:N27" si="2">M19/U19</f>
        <v>0.3166407684701229</v>
      </c>
      <c r="O19" s="413">
        <f t="shared" ref="O19:O27" si="3">O6*$O$30</f>
        <v>116100</v>
      </c>
      <c r="P19" s="423">
        <f t="shared" ref="P19:P27" si="4">O19/U19</f>
        <v>0.6833592315298771</v>
      </c>
      <c r="Q19" s="411">
        <f t="shared" ref="Q19:Q27" si="5">Q6*$Q$30</f>
        <v>0</v>
      </c>
      <c r="R19" s="423">
        <f t="shared" ref="R19:R27" si="6">Q19/U19</f>
        <v>0</v>
      </c>
      <c r="S19" s="411">
        <f t="shared" ref="S19:S27" si="7">S6*$S$30</f>
        <v>0</v>
      </c>
      <c r="T19" s="423">
        <f t="shared" ref="T19:T27" si="8">S19/U19</f>
        <v>0</v>
      </c>
      <c r="U19" s="414">
        <f t="shared" ref="U19:U27" si="9">M19+O19+Q19+S19</f>
        <v>169896</v>
      </c>
    </row>
    <row r="20" spans="1:23" ht="14" x14ac:dyDescent="0.15">
      <c r="A20" s="288"/>
      <c r="B20" s="404" t="s">
        <v>185</v>
      </c>
      <c r="C20" s="424">
        <v>0.8</v>
      </c>
      <c r="D20" s="288"/>
      <c r="E20" s="404" t="s">
        <v>184</v>
      </c>
      <c r="F20" s="424">
        <v>0.2</v>
      </c>
      <c r="I20" s="410" t="s">
        <v>116</v>
      </c>
      <c r="J20" s="410">
        <v>2</v>
      </c>
      <c r="K20" s="411">
        <v>53152</v>
      </c>
      <c r="L20" s="412">
        <v>4</v>
      </c>
      <c r="M20" s="413">
        <f t="shared" si="1"/>
        <v>36903</v>
      </c>
      <c r="N20" s="423">
        <f t="shared" si="2"/>
        <v>0.27027027027027029</v>
      </c>
      <c r="O20" s="413">
        <f t="shared" si="3"/>
        <v>99638.1</v>
      </c>
      <c r="P20" s="423">
        <f t="shared" si="4"/>
        <v>0.72972972972972971</v>
      </c>
      <c r="Q20" s="411">
        <f t="shared" si="5"/>
        <v>0</v>
      </c>
      <c r="R20" s="423">
        <f t="shared" si="6"/>
        <v>0</v>
      </c>
      <c r="S20" s="411">
        <f t="shared" si="7"/>
        <v>0</v>
      </c>
      <c r="T20" s="423">
        <f t="shared" si="8"/>
        <v>0</v>
      </c>
      <c r="U20" s="414">
        <f t="shared" si="9"/>
        <v>136541.1</v>
      </c>
    </row>
    <row r="21" spans="1:23" ht="14" x14ac:dyDescent="0.15">
      <c r="A21" s="288"/>
      <c r="B21" s="404" t="s">
        <v>98</v>
      </c>
      <c r="C21" s="424">
        <v>0.3</v>
      </c>
      <c r="D21" s="288"/>
      <c r="E21" s="404" t="s">
        <v>98</v>
      </c>
      <c r="F21" s="424">
        <v>0.3</v>
      </c>
      <c r="I21" s="410" t="s">
        <v>121</v>
      </c>
      <c r="J21" s="410">
        <v>2</v>
      </c>
      <c r="K21" s="411">
        <v>53152</v>
      </c>
      <c r="L21" s="412">
        <v>4</v>
      </c>
      <c r="M21" s="413">
        <f t="shared" si="1"/>
        <v>36903</v>
      </c>
      <c r="N21" s="423">
        <f t="shared" si="2"/>
        <v>0.27027027027027029</v>
      </c>
      <c r="O21" s="413">
        <f t="shared" si="3"/>
        <v>99638.1</v>
      </c>
      <c r="P21" s="423">
        <f t="shared" si="4"/>
        <v>0.72972972972972971</v>
      </c>
      <c r="Q21" s="411">
        <f t="shared" si="5"/>
        <v>0</v>
      </c>
      <c r="R21" s="423">
        <f t="shared" si="6"/>
        <v>0</v>
      </c>
      <c r="S21" s="411">
        <f t="shared" si="7"/>
        <v>0</v>
      </c>
      <c r="T21" s="423">
        <f t="shared" si="8"/>
        <v>0</v>
      </c>
      <c r="U21" s="414">
        <f t="shared" si="9"/>
        <v>136541.1</v>
      </c>
    </row>
    <row r="22" spans="1:23" ht="14" x14ac:dyDescent="0.15">
      <c r="A22" s="288"/>
      <c r="B22" s="404" t="s">
        <v>99</v>
      </c>
      <c r="C22" s="424">
        <v>0.05</v>
      </c>
      <c r="D22" s="288"/>
      <c r="E22" s="404" t="s">
        <v>99</v>
      </c>
      <c r="F22" s="424">
        <v>0.05</v>
      </c>
      <c r="I22" s="410" t="s">
        <v>122</v>
      </c>
      <c r="J22" s="410">
        <v>2</v>
      </c>
      <c r="K22" s="411">
        <v>34616</v>
      </c>
      <c r="L22" s="412">
        <v>3</v>
      </c>
      <c r="M22" s="413">
        <f t="shared" si="1"/>
        <v>68294</v>
      </c>
      <c r="N22" s="423">
        <f t="shared" si="2"/>
        <v>1</v>
      </c>
      <c r="O22" s="413">
        <f t="shared" si="3"/>
        <v>0</v>
      </c>
      <c r="P22" s="423">
        <f t="shared" si="4"/>
        <v>0</v>
      </c>
      <c r="Q22" s="411">
        <f t="shared" si="5"/>
        <v>0</v>
      </c>
      <c r="R22" s="423">
        <f t="shared" si="6"/>
        <v>0</v>
      </c>
      <c r="S22" s="411">
        <f t="shared" si="7"/>
        <v>0</v>
      </c>
      <c r="T22" s="423">
        <f t="shared" si="8"/>
        <v>0</v>
      </c>
      <c r="U22" s="414">
        <f t="shared" si="9"/>
        <v>68294</v>
      </c>
    </row>
    <row r="23" spans="1:23" ht="14" x14ac:dyDescent="0.15">
      <c r="A23" s="288"/>
      <c r="B23" s="404" t="s">
        <v>12</v>
      </c>
      <c r="C23" s="424">
        <v>0.02</v>
      </c>
      <c r="D23" s="288"/>
      <c r="E23" s="404" t="s">
        <v>12</v>
      </c>
      <c r="F23" s="424">
        <v>0.02</v>
      </c>
      <c r="I23" s="410" t="s">
        <v>123</v>
      </c>
      <c r="J23" s="410">
        <v>1</v>
      </c>
      <c r="K23" s="411">
        <v>98796</v>
      </c>
      <c r="L23" s="412">
        <v>10</v>
      </c>
      <c r="M23" s="413">
        <f t="shared" si="1"/>
        <v>75736</v>
      </c>
      <c r="N23" s="423">
        <f t="shared" si="2"/>
        <v>0.11876753125025971</v>
      </c>
      <c r="O23" s="413">
        <f t="shared" si="3"/>
        <v>414809.10000000003</v>
      </c>
      <c r="P23" s="423">
        <f t="shared" si="4"/>
        <v>0.65049451710074613</v>
      </c>
      <c r="Q23" s="411">
        <f t="shared" si="5"/>
        <v>0</v>
      </c>
      <c r="R23" s="423">
        <f t="shared" si="6"/>
        <v>0</v>
      </c>
      <c r="S23" s="411">
        <f t="shared" si="7"/>
        <v>147137.60000000001</v>
      </c>
      <c r="T23" s="423">
        <f t="shared" si="8"/>
        <v>0.23073795164899408</v>
      </c>
      <c r="U23" s="414">
        <f t="shared" si="9"/>
        <v>637682.70000000007</v>
      </c>
    </row>
    <row r="24" spans="1:23" ht="14" x14ac:dyDescent="0.15">
      <c r="A24" s="288"/>
      <c r="B24" s="404" t="s">
        <v>100</v>
      </c>
      <c r="C24" s="424">
        <v>0.03</v>
      </c>
      <c r="D24" s="288"/>
      <c r="E24" s="404" t="s">
        <v>100</v>
      </c>
      <c r="F24" s="424">
        <v>0.03</v>
      </c>
      <c r="I24" s="410" t="s">
        <v>127</v>
      </c>
      <c r="J24" s="410">
        <v>3</v>
      </c>
      <c r="K24" s="411">
        <v>57462</v>
      </c>
      <c r="L24" s="412">
        <v>9</v>
      </c>
      <c r="M24" s="413">
        <f t="shared" si="1"/>
        <v>42860</v>
      </c>
      <c r="N24" s="423">
        <f t="shared" si="2"/>
        <v>0.12195121951219512</v>
      </c>
      <c r="O24" s="413">
        <f t="shared" si="3"/>
        <v>308592</v>
      </c>
      <c r="P24" s="423">
        <f t="shared" si="4"/>
        <v>0.87804878048780488</v>
      </c>
      <c r="Q24" s="411">
        <f t="shared" si="5"/>
        <v>0</v>
      </c>
      <c r="R24" s="423">
        <f t="shared" si="6"/>
        <v>0</v>
      </c>
      <c r="S24" s="411">
        <f t="shared" si="7"/>
        <v>0</v>
      </c>
      <c r="T24" s="423">
        <f t="shared" si="8"/>
        <v>0</v>
      </c>
      <c r="U24" s="414">
        <f t="shared" si="9"/>
        <v>351452</v>
      </c>
    </row>
    <row r="25" spans="1:23" ht="14" x14ac:dyDescent="0.15">
      <c r="A25" s="288"/>
      <c r="B25" s="425" t="s">
        <v>101</v>
      </c>
      <c r="C25" s="426">
        <v>5.5E-2</v>
      </c>
      <c r="D25" s="288"/>
      <c r="E25" s="404" t="s">
        <v>101</v>
      </c>
      <c r="F25" s="427">
        <v>5.5E-2</v>
      </c>
      <c r="I25" s="410" t="s">
        <v>130</v>
      </c>
      <c r="J25" s="410">
        <v>3</v>
      </c>
      <c r="K25" s="411">
        <v>87744</v>
      </c>
      <c r="L25" s="412">
        <v>10</v>
      </c>
      <c r="M25" s="413">
        <f t="shared" si="1"/>
        <v>85866</v>
      </c>
      <c r="N25" s="423">
        <f t="shared" si="2"/>
        <v>0.17448358874616818</v>
      </c>
      <c r="O25" s="413">
        <f t="shared" si="3"/>
        <v>229516.2</v>
      </c>
      <c r="P25" s="423">
        <f t="shared" si="4"/>
        <v>0.46638728077915925</v>
      </c>
      <c r="Q25" s="411">
        <f t="shared" si="5"/>
        <v>176732.85</v>
      </c>
      <c r="R25" s="423">
        <f t="shared" si="6"/>
        <v>0.35912913047467254</v>
      </c>
      <c r="S25" s="411">
        <f t="shared" si="7"/>
        <v>0</v>
      </c>
      <c r="T25" s="423">
        <f t="shared" si="8"/>
        <v>0</v>
      </c>
      <c r="U25" s="414">
        <f t="shared" si="9"/>
        <v>492115.05000000005</v>
      </c>
    </row>
    <row r="26" spans="1:23" ht="14" x14ac:dyDescent="0.15">
      <c r="A26" s="288"/>
      <c r="B26" s="288"/>
      <c r="C26" s="288"/>
      <c r="D26" s="288"/>
      <c r="E26" s="425" t="s">
        <v>135</v>
      </c>
      <c r="F26" s="428">
        <v>0.6</v>
      </c>
      <c r="I26" s="410" t="s">
        <v>132</v>
      </c>
      <c r="J26" s="410">
        <v>1</v>
      </c>
      <c r="K26" s="411">
        <v>24233</v>
      </c>
      <c r="L26" s="412">
        <v>15</v>
      </c>
      <c r="M26" s="413">
        <f t="shared" si="1"/>
        <v>24297</v>
      </c>
      <c r="N26" s="423">
        <f t="shared" si="2"/>
        <v>8.7988518796559556E-2</v>
      </c>
      <c r="O26" s="413">
        <f t="shared" si="3"/>
        <v>45316.800000000003</v>
      </c>
      <c r="P26" s="423">
        <f t="shared" si="4"/>
        <v>0.1641090714326843</v>
      </c>
      <c r="Q26" s="411">
        <f t="shared" si="5"/>
        <v>206524.5</v>
      </c>
      <c r="R26" s="423">
        <f t="shared" si="6"/>
        <v>0.74790240977075617</v>
      </c>
      <c r="S26" s="411">
        <f t="shared" si="7"/>
        <v>0</v>
      </c>
      <c r="T26" s="423">
        <f t="shared" si="8"/>
        <v>0</v>
      </c>
      <c r="U26" s="414">
        <f t="shared" si="9"/>
        <v>276138.3</v>
      </c>
    </row>
    <row r="27" spans="1:23" ht="14" x14ac:dyDescent="0.15">
      <c r="A27" s="288"/>
      <c r="B27" s="288"/>
      <c r="C27" s="288"/>
      <c r="D27" s="288"/>
      <c r="E27" s="288"/>
      <c r="I27" s="410" t="s">
        <v>133</v>
      </c>
      <c r="J27" s="410" t="s">
        <v>161</v>
      </c>
      <c r="K27" s="411">
        <v>120000</v>
      </c>
      <c r="L27" s="412">
        <v>33</v>
      </c>
      <c r="M27" s="413">
        <f t="shared" si="1"/>
        <v>21340</v>
      </c>
      <c r="N27" s="423">
        <f t="shared" si="2"/>
        <v>2.9188284610394872E-2</v>
      </c>
      <c r="O27" s="413">
        <f t="shared" si="3"/>
        <v>248442.30000000002</v>
      </c>
      <c r="P27" s="423">
        <f t="shared" si="4"/>
        <v>0.33981277233650919</v>
      </c>
      <c r="Q27" s="411">
        <f t="shared" si="5"/>
        <v>420772.95</v>
      </c>
      <c r="R27" s="423">
        <f t="shared" si="6"/>
        <v>0.57552205346557883</v>
      </c>
      <c r="S27" s="411">
        <f t="shared" si="7"/>
        <v>40560</v>
      </c>
      <c r="T27" s="423">
        <f t="shared" si="8"/>
        <v>5.5476889587517154E-2</v>
      </c>
      <c r="U27" s="414">
        <f t="shared" si="9"/>
        <v>731115.25</v>
      </c>
    </row>
    <row r="28" spans="1:23" ht="14" x14ac:dyDescent="0.15">
      <c r="A28" s="288"/>
      <c r="B28" s="288"/>
      <c r="D28" s="288"/>
      <c r="E28" s="288"/>
      <c r="I28" s="418" t="s">
        <v>28</v>
      </c>
      <c r="J28" s="418"/>
      <c r="K28" s="414">
        <f>SUM(K19:K27)</f>
        <v>582307</v>
      </c>
      <c r="L28" s="419">
        <f>SUM(L19:L27)</f>
        <v>92</v>
      </c>
      <c r="M28" s="420">
        <f>SUM(M19:M27)</f>
        <v>445995</v>
      </c>
      <c r="N28" s="429"/>
      <c r="O28" s="414">
        <f>SUM(O19:O27)</f>
        <v>1562052.6</v>
      </c>
      <c r="P28" s="414"/>
      <c r="Q28" s="414">
        <f>SUM(Q19:Q27)</f>
        <v>804030.3</v>
      </c>
      <c r="R28" s="414"/>
      <c r="S28" s="414">
        <f>SUM(S19:S27)</f>
        <v>187697.6</v>
      </c>
      <c r="T28" s="414"/>
      <c r="U28" s="414">
        <f>SUM(M28:S28)</f>
        <v>2999775.5000000005</v>
      </c>
      <c r="W28" s="430"/>
    </row>
    <row r="29" spans="1:23" ht="14" x14ac:dyDescent="0.15">
      <c r="A29" s="288"/>
      <c r="B29" s="399" t="s">
        <v>138</v>
      </c>
      <c r="C29" s="431"/>
      <c r="D29" s="288"/>
      <c r="E29" s="399" t="s">
        <v>52</v>
      </c>
      <c r="F29" s="400"/>
      <c r="I29" s="402"/>
      <c r="J29" s="403"/>
      <c r="K29" s="403"/>
      <c r="L29" s="403"/>
      <c r="M29" s="432"/>
      <c r="N29" s="432"/>
      <c r="O29" s="432"/>
      <c r="P29" s="432"/>
      <c r="Q29" s="432"/>
      <c r="R29" s="432"/>
      <c r="S29" s="432"/>
      <c r="T29" s="432"/>
      <c r="U29" s="432"/>
    </row>
    <row r="30" spans="1:23" ht="14" x14ac:dyDescent="0.15">
      <c r="A30" s="288"/>
      <c r="B30" s="404" t="s">
        <v>137</v>
      </c>
      <c r="C30" s="433">
        <v>30</v>
      </c>
      <c r="D30" s="288"/>
      <c r="E30" s="404" t="s">
        <v>137</v>
      </c>
      <c r="F30" s="433">
        <v>20</v>
      </c>
      <c r="I30" s="402"/>
      <c r="J30" s="434" t="s">
        <v>164</v>
      </c>
      <c r="K30" s="435"/>
      <c r="L30" s="435"/>
      <c r="M30" s="436">
        <v>1</v>
      </c>
      <c r="N30" s="436"/>
      <c r="O30" s="436">
        <v>0.9</v>
      </c>
      <c r="P30" s="436"/>
      <c r="Q30" s="436">
        <v>0.85</v>
      </c>
      <c r="R30" s="436"/>
      <c r="S30" s="436">
        <v>0.8</v>
      </c>
      <c r="T30" s="436"/>
      <c r="U30" s="437"/>
    </row>
    <row r="31" spans="1:23" ht="14" x14ac:dyDescent="0.15">
      <c r="A31" s="288"/>
      <c r="B31" s="404" t="s">
        <v>97</v>
      </c>
      <c r="C31" s="438">
        <v>1500000</v>
      </c>
      <c r="D31" s="288"/>
      <c r="E31" s="404" t="s">
        <v>97</v>
      </c>
      <c r="F31" s="438">
        <v>396348</v>
      </c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439"/>
    </row>
    <row r="32" spans="1:23" ht="14" x14ac:dyDescent="0.15">
      <c r="A32" s="288"/>
      <c r="B32" s="404" t="s">
        <v>98</v>
      </c>
      <c r="C32" s="424">
        <v>0.25</v>
      </c>
      <c r="D32" s="288"/>
      <c r="E32" s="404" t="s">
        <v>98</v>
      </c>
      <c r="F32" s="424">
        <v>0.25</v>
      </c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</row>
    <row r="33" spans="1:21" ht="14" x14ac:dyDescent="0.15">
      <c r="A33" s="288"/>
      <c r="B33" s="404" t="s">
        <v>99</v>
      </c>
      <c r="C33" s="424">
        <v>0.06</v>
      </c>
      <c r="D33" s="288"/>
      <c r="E33" s="404" t="s">
        <v>99</v>
      </c>
      <c r="F33" s="424">
        <v>0.04</v>
      </c>
      <c r="I33" s="288"/>
      <c r="J33" s="288"/>
      <c r="K33" s="288"/>
      <c r="L33" s="440"/>
      <c r="M33" s="439"/>
      <c r="N33" s="288"/>
      <c r="O33" s="439"/>
      <c r="P33" s="288"/>
      <c r="Q33" s="439"/>
      <c r="R33" s="288"/>
      <c r="S33" s="439"/>
      <c r="T33" s="288"/>
      <c r="U33" s="441"/>
    </row>
    <row r="34" spans="1:21" ht="14" x14ac:dyDescent="0.15">
      <c r="A34" s="288"/>
      <c r="B34" s="404" t="s">
        <v>12</v>
      </c>
      <c r="C34" s="424">
        <v>0.02</v>
      </c>
      <c r="D34" s="288"/>
      <c r="E34" s="404" t="s">
        <v>12</v>
      </c>
      <c r="F34" s="424">
        <v>0.02</v>
      </c>
      <c r="I34" s="288"/>
      <c r="J34" s="288"/>
      <c r="K34" s="288"/>
      <c r="L34" s="288"/>
      <c r="M34" s="288"/>
      <c r="N34" s="288"/>
      <c r="O34" s="439"/>
      <c r="P34" s="288"/>
      <c r="Q34" s="288"/>
      <c r="R34" s="288"/>
      <c r="S34" s="288"/>
      <c r="T34" s="288"/>
      <c r="U34" s="288"/>
    </row>
    <row r="35" spans="1:21" ht="14" x14ac:dyDescent="0.15">
      <c r="A35" s="288"/>
      <c r="B35" s="404" t="s">
        <v>100</v>
      </c>
      <c r="C35" s="424">
        <v>0.03</v>
      </c>
      <c r="D35" s="288"/>
      <c r="E35" s="404" t="s">
        <v>100</v>
      </c>
      <c r="F35" s="424">
        <v>0.03</v>
      </c>
      <c r="I35" s="288"/>
      <c r="J35" s="288"/>
      <c r="K35" s="288"/>
      <c r="L35" s="288"/>
      <c r="M35" s="288"/>
      <c r="N35" s="288"/>
      <c r="O35" s="439"/>
      <c r="P35" s="288"/>
      <c r="Q35" s="288"/>
      <c r="R35" s="288"/>
      <c r="S35" s="288"/>
      <c r="T35" s="288"/>
      <c r="U35" s="288"/>
    </row>
    <row r="36" spans="1:21" ht="14" x14ac:dyDescent="0.15">
      <c r="A36" s="288"/>
      <c r="B36" s="425" t="s">
        <v>101</v>
      </c>
      <c r="C36" s="426">
        <v>0.06</v>
      </c>
      <c r="D36" s="288"/>
      <c r="E36" s="425" t="s">
        <v>101</v>
      </c>
      <c r="F36" s="426">
        <v>0.06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</row>
    <row r="37" spans="1:21" x14ac:dyDescent="0.15">
      <c r="A37" s="288"/>
      <c r="B37" s="288"/>
      <c r="C37" s="288"/>
      <c r="D37" s="288"/>
      <c r="E37" s="288"/>
      <c r="F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</row>
    <row r="38" spans="1:21" x14ac:dyDescent="0.15">
      <c r="A38" s="288"/>
      <c r="B38" s="288"/>
      <c r="C38" s="288"/>
      <c r="D38" s="288"/>
      <c r="E38" s="288"/>
      <c r="F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</row>
    <row r="39" spans="1:21" x14ac:dyDescent="0.15">
      <c r="A39" s="288"/>
      <c r="B39" s="399" t="s">
        <v>53</v>
      </c>
      <c r="C39" s="400"/>
      <c r="D39" s="288"/>
      <c r="E39" s="399" t="s">
        <v>192</v>
      </c>
      <c r="F39" s="400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</row>
    <row r="40" spans="1:21" ht="14" x14ac:dyDescent="0.15">
      <c r="A40" s="288"/>
      <c r="B40" s="404" t="s">
        <v>139</v>
      </c>
      <c r="C40" s="442">
        <v>175</v>
      </c>
      <c r="D40" s="288"/>
      <c r="E40" s="404" t="s">
        <v>212</v>
      </c>
      <c r="F40" s="424">
        <v>0.1</v>
      </c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</row>
    <row r="41" spans="1:21" ht="14" x14ac:dyDescent="0.15">
      <c r="A41" s="288"/>
      <c r="B41" s="404" t="s">
        <v>140</v>
      </c>
      <c r="C41" s="424">
        <v>0.6</v>
      </c>
      <c r="D41" s="288"/>
      <c r="E41" s="404" t="s">
        <v>223</v>
      </c>
      <c r="F41" s="424">
        <v>0.65</v>
      </c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</row>
    <row r="42" spans="1:21" ht="14" x14ac:dyDescent="0.15">
      <c r="A42" s="288"/>
      <c r="B42" s="404" t="s">
        <v>141</v>
      </c>
      <c r="C42" s="443">
        <f>C40*C41</f>
        <v>105</v>
      </c>
      <c r="D42" s="288"/>
      <c r="E42" s="404" t="s">
        <v>211</v>
      </c>
      <c r="F42" s="444">
        <v>5.2499999999999998E-2</v>
      </c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</row>
    <row r="43" spans="1:21" ht="14" x14ac:dyDescent="0.15">
      <c r="A43" s="288"/>
      <c r="B43" s="404" t="s">
        <v>142</v>
      </c>
      <c r="C43" s="405">
        <v>200</v>
      </c>
      <c r="D43" s="288"/>
      <c r="E43" s="404" t="s">
        <v>226</v>
      </c>
      <c r="F43" s="442">
        <v>20</v>
      </c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</row>
    <row r="44" spans="1:21" ht="14" x14ac:dyDescent="0.15">
      <c r="A44" s="288"/>
      <c r="B44" s="404" t="s">
        <v>216</v>
      </c>
      <c r="C44" s="405">
        <v>450</v>
      </c>
      <c r="D44" s="288"/>
      <c r="E44" s="404" t="s">
        <v>227</v>
      </c>
      <c r="F44" s="424">
        <v>0.03</v>
      </c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</row>
    <row r="45" spans="1:21" ht="14" x14ac:dyDescent="0.15">
      <c r="A45" s="288"/>
      <c r="B45" s="288"/>
      <c r="D45" s="288"/>
      <c r="E45" s="404" t="s">
        <v>230</v>
      </c>
      <c r="F45" s="424">
        <v>0.01</v>
      </c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</row>
    <row r="46" spans="1:21" ht="14" x14ac:dyDescent="0.15">
      <c r="A46" s="288"/>
      <c r="B46" s="404" t="s">
        <v>98</v>
      </c>
      <c r="C46" s="424">
        <v>0.3</v>
      </c>
      <c r="D46" s="288"/>
      <c r="E46" s="404"/>
      <c r="F46" s="424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</row>
    <row r="47" spans="1:21" ht="14" x14ac:dyDescent="0.15">
      <c r="A47" s="288"/>
      <c r="B47" s="404" t="s">
        <v>12</v>
      </c>
      <c r="C47" s="424">
        <v>0.02</v>
      </c>
      <c r="D47" s="288"/>
      <c r="E47" s="404"/>
      <c r="F47" s="424"/>
      <c r="I47" s="288"/>
      <c r="J47" s="445"/>
      <c r="K47" s="445"/>
      <c r="L47" s="445"/>
      <c r="M47" s="445"/>
      <c r="N47" s="445"/>
      <c r="O47" s="445"/>
      <c r="P47" s="445"/>
      <c r="Q47" s="445"/>
      <c r="R47" s="288"/>
      <c r="S47" s="288"/>
      <c r="T47" s="288"/>
      <c r="U47" s="288"/>
    </row>
    <row r="48" spans="1:21" ht="14" x14ac:dyDescent="0.15">
      <c r="A48" s="288"/>
      <c r="B48" s="404" t="s">
        <v>100</v>
      </c>
      <c r="C48" s="424">
        <v>0.03</v>
      </c>
      <c r="D48" s="288"/>
      <c r="E48" s="425"/>
      <c r="F48" s="426"/>
      <c r="I48" s="288"/>
      <c r="J48" s="445"/>
      <c r="K48" s="445"/>
      <c r="L48" s="445"/>
      <c r="M48" s="445"/>
      <c r="N48" s="445"/>
      <c r="O48" s="445"/>
      <c r="P48" s="445"/>
      <c r="Q48" s="445"/>
      <c r="R48" s="288"/>
      <c r="S48" s="288"/>
      <c r="T48" s="288"/>
      <c r="U48" s="288"/>
    </row>
    <row r="49" spans="1:21" ht="14" x14ac:dyDescent="0.15">
      <c r="A49" s="288"/>
      <c r="B49" s="425" t="s">
        <v>101</v>
      </c>
      <c r="C49" s="426">
        <v>0.08</v>
      </c>
      <c r="D49" s="288"/>
      <c r="E49" s="288"/>
      <c r="F49" s="288"/>
      <c r="I49" s="288"/>
      <c r="J49" s="445"/>
      <c r="K49" s="445"/>
      <c r="L49" s="445"/>
      <c r="M49" s="445"/>
      <c r="N49" s="445"/>
      <c r="O49" s="445"/>
      <c r="P49" s="445"/>
      <c r="Q49" s="445"/>
      <c r="R49" s="288"/>
      <c r="S49" s="288"/>
      <c r="T49" s="288"/>
      <c r="U49" s="288"/>
    </row>
    <row r="50" spans="1:21" x14ac:dyDescent="0.15">
      <c r="A50" s="288"/>
      <c r="B50" s="288"/>
      <c r="C50" s="288"/>
      <c r="D50" s="288"/>
      <c r="E50" s="288"/>
      <c r="I50" s="288"/>
      <c r="J50" s="445"/>
      <c r="K50" s="445"/>
      <c r="L50" s="445"/>
      <c r="M50" s="445"/>
      <c r="N50" s="445"/>
      <c r="O50" s="445"/>
      <c r="P50" s="445"/>
      <c r="Q50" s="445"/>
      <c r="R50" s="288"/>
      <c r="S50" s="288"/>
      <c r="T50" s="288"/>
      <c r="U50" s="288"/>
    </row>
    <row r="51" spans="1:21" x14ac:dyDescent="0.15">
      <c r="A51" s="288"/>
      <c r="B51" s="288"/>
      <c r="C51" s="288"/>
      <c r="D51" s="288"/>
      <c r="E51" s="288"/>
      <c r="F51" s="288"/>
      <c r="I51" s="288"/>
      <c r="J51" s="445"/>
      <c r="K51" s="445"/>
      <c r="L51" s="445"/>
      <c r="M51" s="445"/>
      <c r="N51" s="445"/>
      <c r="O51" s="445"/>
      <c r="P51" s="445"/>
      <c r="Q51" s="445"/>
      <c r="R51" s="288"/>
      <c r="S51" s="288"/>
      <c r="T51" s="288"/>
      <c r="U51" s="288"/>
    </row>
    <row r="52" spans="1:21" x14ac:dyDescent="0.15">
      <c r="A52" s="288"/>
      <c r="B52" s="399" t="s">
        <v>241</v>
      </c>
      <c r="C52" s="400"/>
      <c r="D52" s="288"/>
      <c r="E52" s="288"/>
      <c r="F52" s="288"/>
      <c r="I52" s="288"/>
      <c r="J52" s="445"/>
      <c r="K52" s="445"/>
      <c r="L52" s="445"/>
      <c r="M52" s="445"/>
      <c r="N52" s="445"/>
      <c r="O52" s="445"/>
      <c r="P52" s="445"/>
      <c r="Q52" s="445"/>
      <c r="R52" s="288"/>
      <c r="S52" s="288"/>
      <c r="T52" s="288"/>
      <c r="U52" s="288"/>
    </row>
    <row r="53" spans="1:21" ht="14" x14ac:dyDescent="0.15">
      <c r="A53" s="288"/>
      <c r="B53" s="404" t="s">
        <v>145</v>
      </c>
      <c r="C53" s="442">
        <v>100</v>
      </c>
      <c r="D53" s="288"/>
      <c r="E53" s="288"/>
      <c r="F53" s="288"/>
      <c r="I53" s="288"/>
      <c r="J53" s="445"/>
      <c r="K53" s="445"/>
      <c r="L53" s="445"/>
      <c r="M53" s="445"/>
      <c r="N53" s="445"/>
      <c r="O53" s="445"/>
      <c r="P53" s="445"/>
      <c r="Q53" s="445"/>
      <c r="R53" s="288"/>
      <c r="S53" s="288"/>
      <c r="T53" s="288"/>
      <c r="U53" s="288"/>
    </row>
    <row r="54" spans="1:21" ht="14" x14ac:dyDescent="0.15">
      <c r="A54" s="288"/>
      <c r="B54" s="404" t="s">
        <v>282</v>
      </c>
      <c r="C54" s="442">
        <v>150</v>
      </c>
      <c r="D54" s="288"/>
      <c r="E54" s="288"/>
      <c r="F54" s="288"/>
      <c r="I54" s="288"/>
      <c r="J54" s="445"/>
      <c r="K54" s="445"/>
      <c r="L54" s="445"/>
      <c r="M54" s="445"/>
      <c r="N54" s="445"/>
      <c r="O54" s="445"/>
      <c r="P54" s="445"/>
      <c r="Q54" s="445"/>
      <c r="R54" s="288"/>
      <c r="S54" s="288"/>
      <c r="T54" s="288"/>
      <c r="U54" s="288"/>
    </row>
    <row r="55" spans="1:21" ht="14" x14ac:dyDescent="0.15">
      <c r="A55" s="288"/>
      <c r="B55" s="425" t="s">
        <v>242</v>
      </c>
      <c r="C55" s="428">
        <v>0.15</v>
      </c>
      <c r="D55" s="288"/>
      <c r="E55" s="288"/>
      <c r="F55" s="288"/>
      <c r="I55" s="288"/>
      <c r="J55" s="445"/>
      <c r="K55" s="445"/>
      <c r="L55" s="445"/>
      <c r="M55" s="445"/>
      <c r="N55" s="445"/>
      <c r="O55" s="445"/>
      <c r="P55" s="445"/>
      <c r="Q55" s="445"/>
      <c r="R55" s="288"/>
      <c r="S55" s="288"/>
      <c r="T55" s="288"/>
      <c r="U55" s="288"/>
    </row>
    <row r="56" spans="1:21" x14ac:dyDescent="0.15">
      <c r="A56" s="446"/>
      <c r="B56" s="446"/>
      <c r="C56" s="288"/>
      <c r="D56" s="288"/>
      <c r="E56" s="288"/>
      <c r="F56" s="288"/>
      <c r="I56" s="288"/>
      <c r="J56" s="445"/>
      <c r="K56" s="445"/>
      <c r="L56" s="445"/>
      <c r="M56" s="445"/>
      <c r="N56" s="445"/>
      <c r="O56" s="445"/>
      <c r="P56" s="445"/>
      <c r="Q56" s="445"/>
      <c r="R56" s="288"/>
      <c r="S56" s="288"/>
      <c r="T56" s="288"/>
      <c r="U56" s="288"/>
    </row>
    <row r="57" spans="1:21" x14ac:dyDescent="0.15">
      <c r="A57" s="446"/>
      <c r="B57" s="446"/>
      <c r="C57" s="288"/>
      <c r="D57" s="288"/>
      <c r="E57" s="288"/>
      <c r="F57" s="288"/>
      <c r="I57" s="288"/>
      <c r="J57" s="445"/>
      <c r="K57" s="445"/>
      <c r="L57" s="445"/>
      <c r="M57" s="445"/>
      <c r="N57" s="445"/>
      <c r="O57" s="445"/>
      <c r="P57" s="445"/>
      <c r="Q57" s="445"/>
      <c r="R57" s="288"/>
      <c r="S57" s="288"/>
      <c r="T57" s="288"/>
      <c r="U57" s="288"/>
    </row>
    <row r="58" spans="1:21" x14ac:dyDescent="0.15">
      <c r="A58" s="288"/>
      <c r="B58" s="288"/>
      <c r="C58" s="288"/>
      <c r="D58" s="288"/>
      <c r="E58" s="288"/>
      <c r="F58" s="288"/>
      <c r="I58" s="288"/>
      <c r="J58" s="445"/>
      <c r="K58" s="445"/>
      <c r="L58" s="445"/>
      <c r="M58" s="445"/>
      <c r="N58" s="445"/>
      <c r="O58" s="445"/>
      <c r="P58" s="445"/>
      <c r="Q58" s="445"/>
      <c r="R58" s="288"/>
      <c r="S58" s="288"/>
      <c r="T58" s="288"/>
      <c r="U58" s="288"/>
    </row>
    <row r="59" spans="1:21" x14ac:dyDescent="0.15">
      <c r="A59" s="288"/>
      <c r="B59" s="288"/>
      <c r="C59" s="288"/>
      <c r="D59" s="288"/>
      <c r="E59" s="288"/>
      <c r="F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</row>
    <row r="60" spans="1:21" x14ac:dyDescent="0.15">
      <c r="A60" s="288"/>
      <c r="B60" s="288"/>
      <c r="C60" s="288"/>
      <c r="D60" s="288"/>
      <c r="E60" s="288"/>
      <c r="F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</row>
    <row r="61" spans="1:21" x14ac:dyDescent="0.15">
      <c r="A61" s="288"/>
      <c r="B61" s="288"/>
      <c r="C61" s="288"/>
      <c r="D61" s="288"/>
      <c r="E61" s="288"/>
      <c r="F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</row>
    <row r="62" spans="1:21" x14ac:dyDescent="0.15">
      <c r="C62" s="288"/>
      <c r="D62" s="288"/>
      <c r="E62" s="288"/>
      <c r="M62" s="288"/>
      <c r="N62" s="288"/>
      <c r="O62" s="288"/>
      <c r="P62" s="288"/>
      <c r="Q62" s="288"/>
      <c r="R62" s="288"/>
      <c r="S62" s="288"/>
      <c r="T62" s="288"/>
      <c r="U62" s="28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4CE2EAE5B8A44A48150A3C78297B9" ma:contentTypeVersion="5" ma:contentTypeDescription="Create a new document." ma:contentTypeScope="" ma:versionID="307ac17f26da688d8d5b66e62e962c54">
  <xsd:schema xmlns:xsd="http://www.w3.org/2001/XMLSchema" xmlns:xs="http://www.w3.org/2001/XMLSchema" xmlns:p="http://schemas.microsoft.com/office/2006/metadata/properties" xmlns:ns2="03806b76-247a-4fa8-b43e-2d766eefacbf" targetNamespace="http://schemas.microsoft.com/office/2006/metadata/properties" ma:root="true" ma:fieldsID="84037653d7121a755986630432c43785" ns2:_="">
    <xsd:import namespace="03806b76-247a-4fa8-b43e-2d766eefac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806b76-247a-4fa8-b43e-2d766eefac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F61E05-645F-48EA-B932-84E42A1D8E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533035-69C3-4CA8-874C-FBF72791B7E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3806b76-247a-4fa8-b43e-2d766eefacb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A7B8155-80C8-4908-8FEE-689F0B3B2F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806b76-247a-4fa8-b43e-2d766eefac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</vt:i4>
      </vt:variant>
    </vt:vector>
  </HeadingPairs>
  <TitlesOfParts>
    <vt:vector size="20" baseType="lpstr">
      <vt:lpstr>Summary Board</vt:lpstr>
      <vt:lpstr>1.Infrastructure Costs</vt:lpstr>
      <vt:lpstr>2.Market-rate Rental Housing</vt:lpstr>
      <vt:lpstr>3. Affordable Rental Housing</vt:lpstr>
      <vt:lpstr>4. Office</vt:lpstr>
      <vt:lpstr>5. Retail</vt:lpstr>
      <vt:lpstr>6. Hotel</vt:lpstr>
      <vt:lpstr>7. Surface Parking</vt:lpstr>
      <vt:lpstr>Assumptions</vt:lpstr>
      <vt:lpstr>Sources &amp; Uses</vt:lpstr>
      <vt:lpstr>Finance</vt:lpstr>
      <vt:lpstr>Phasing</vt:lpstr>
      <vt:lpstr>Land</vt:lpstr>
      <vt:lpstr>Apartment Mix</vt:lpstr>
      <vt:lpstr>3.Market-rate For-Sale Housing</vt:lpstr>
      <vt:lpstr>5.Affordable For-Sale Housing</vt:lpstr>
      <vt:lpstr>'1.Infrastructure Costs'!Print_Area</vt:lpstr>
      <vt:lpstr>'3.Market-rate For-Sale Housing'!Print_Area</vt:lpstr>
      <vt:lpstr>'5.Affordable For-Sale Housing'!Print_Area</vt:lpstr>
      <vt:lpstr>'Summary Board'!Print_Area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Finkenbinder-Best</dc:creator>
  <cp:lastModifiedBy>Microsoft Office User</cp:lastModifiedBy>
  <cp:lastPrinted>2019-01-28T18:05:37Z</cp:lastPrinted>
  <dcterms:created xsi:type="dcterms:W3CDTF">2007-12-12T14:49:40Z</dcterms:created>
  <dcterms:modified xsi:type="dcterms:W3CDTF">2019-01-29T03:01:23Z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0x0101003D44CE2EAE5B8A44A48150A3C78297B9</vt:lpwstr>
  </property>
</Properties>
</file>