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Winning team\ProForma\"/>
    </mc:Choice>
  </mc:AlternateContent>
  <bookViews>
    <workbookView xWindow="0" yWindow="0" windowWidth="21570" windowHeight="8055" tabRatio="904" activeTab="2"/>
  </bookViews>
  <sheets>
    <sheet name="Summary Board" sheetId="28" r:id="rId1"/>
    <sheet name="Financing" sheetId="30" r:id="rId2"/>
    <sheet name="Development Schedule" sheetId="29" r:id="rId3"/>
    <sheet name="Development Schedule by Lot" sheetId="34" r:id="rId4"/>
    <sheet name="1.Infrastructure Costs" sheetId="15" r:id="rId5"/>
    <sheet name="2.Market-rate Rental Housing" sheetId="35" r:id="rId6"/>
    <sheet name="3.Market-rate For-Sale Housing" sheetId="19" r:id="rId7"/>
    <sheet name="4.Affordable Rental Housing" sheetId="26" r:id="rId8"/>
    <sheet name="5.Affordable For-Sale Housing" sheetId="36" r:id="rId9"/>
    <sheet name="6.Office_Commercial" sheetId="20" r:id="rId10"/>
    <sheet name="7.Market-rate Retail" sheetId="22" r:id="rId11"/>
    <sheet name="8.Hotel" sheetId="23" r:id="rId12"/>
    <sheet name="9.University" sheetId="32" r:id="rId13"/>
    <sheet name="10.School" sheetId="33" r:id="rId14"/>
    <sheet name="11.Structured Parking" sheetId="18" r:id="rId15"/>
    <sheet name="(no)Surface Parking" sheetId="24" r:id="rId16"/>
  </sheets>
  <externalReferences>
    <externalReference r:id="rId17"/>
  </externalReferences>
  <definedNames>
    <definedName name="_xlnm.Print_Area" localSheetId="4">'1.Infrastructure Costs'!$A$1:$N$24</definedName>
    <definedName name="_xlnm.Print_Area" localSheetId="6">'3.Market-rate For-Sale Housing'!$A$1:$M$27</definedName>
    <definedName name="_xlnm.Print_Area" localSheetId="8">'5.Affordable For-Sale Housing'!$A$1:$M$27</definedName>
    <definedName name="_xlnm.Print_Area" localSheetId="11">'8.Hotel'!$A$1:$M$31</definedName>
    <definedName name="_xlnm.Print_Area" localSheetId="2">'Development Schedule'!$A$1:$Q$50</definedName>
    <definedName name="_xlnm.Print_Area" localSheetId="1">Financing!$A$1:$M$53</definedName>
    <definedName name="_xlnm.Print_Area" localSheetId="0">'Summary Board'!$A$2:$M$105</definedName>
    <definedName name="ProjectName">[1]BuildingSummary!$C$3</definedName>
    <definedName name="TeamNumber">[1]BuildingSummary!$C$4</definedName>
  </definedNames>
  <calcPr calcId="162913" concurrentCalc="0"/>
</workbook>
</file>

<file path=xl/calcChain.xml><?xml version="1.0" encoding="utf-8"?>
<calcChain xmlns="http://schemas.openxmlformats.org/spreadsheetml/2006/main">
  <c r="E20" i="15" l="1"/>
  <c r="E19" i="15"/>
  <c r="D93" i="28"/>
  <c r="D94" i="28"/>
  <c r="D95" i="28"/>
  <c r="D96" i="28"/>
  <c r="D97" i="28"/>
  <c r="D98" i="28"/>
  <c r="D99" i="28"/>
  <c r="D100" i="28"/>
  <c r="D101" i="28"/>
  <c r="D102" i="28"/>
  <c r="D103" i="28"/>
  <c r="D104" i="28"/>
  <c r="D105" i="28"/>
  <c r="D6" i="28"/>
  <c r="D7" i="28"/>
  <c r="D8" i="28"/>
  <c r="D9" i="28"/>
  <c r="D10" i="28"/>
  <c r="D11" i="28"/>
  <c r="D12" i="28"/>
  <c r="D13" i="28"/>
  <c r="D15" i="28"/>
  <c r="D16" i="28"/>
  <c r="E6" i="28"/>
  <c r="E7" i="28"/>
  <c r="E8" i="28"/>
  <c r="E9" i="28"/>
  <c r="E10" i="28"/>
  <c r="E11" i="28"/>
  <c r="E12" i="28"/>
  <c r="E13" i="28"/>
  <c r="E15" i="28"/>
  <c r="E16" i="28"/>
  <c r="F6" i="28"/>
  <c r="F7" i="28"/>
  <c r="F8" i="28"/>
  <c r="F9" i="28"/>
  <c r="F10" i="28"/>
  <c r="F11" i="28"/>
  <c r="F12" i="28"/>
  <c r="F13" i="28"/>
  <c r="F15" i="28"/>
  <c r="F16" i="28"/>
  <c r="G6" i="28"/>
  <c r="G7" i="28"/>
  <c r="G8" i="28"/>
  <c r="G9" i="28"/>
  <c r="G10" i="28"/>
  <c r="G11" i="28"/>
  <c r="G12" i="28"/>
  <c r="G13" i="28"/>
  <c r="G15" i="28"/>
  <c r="G16" i="28"/>
  <c r="H6" i="28"/>
  <c r="H7" i="28"/>
  <c r="H8" i="28"/>
  <c r="H9" i="28"/>
  <c r="H10" i="28"/>
  <c r="H11" i="28"/>
  <c r="H12" i="28"/>
  <c r="H13" i="28"/>
  <c r="H15" i="28"/>
  <c r="H16" i="28"/>
  <c r="I6" i="28"/>
  <c r="I7" i="28"/>
  <c r="I8" i="28"/>
  <c r="I9" i="28"/>
  <c r="I10" i="28"/>
  <c r="I11" i="28"/>
  <c r="I12" i="28"/>
  <c r="I13" i="28"/>
  <c r="I15" i="28"/>
  <c r="I16" i="28"/>
  <c r="J6" i="28"/>
  <c r="J7" i="28"/>
  <c r="J8" i="28"/>
  <c r="J9" i="28"/>
  <c r="J10" i="28"/>
  <c r="J11" i="28"/>
  <c r="J12" i="28"/>
  <c r="J13" i="28"/>
  <c r="J15" i="28"/>
  <c r="J16" i="28"/>
  <c r="K6" i="28"/>
  <c r="K7" i="28"/>
  <c r="K8" i="28"/>
  <c r="K9" i="28"/>
  <c r="K10" i="28"/>
  <c r="K11" i="28"/>
  <c r="K12" i="28"/>
  <c r="K13" i="28"/>
  <c r="K15" i="28"/>
  <c r="K16" i="28"/>
  <c r="L6" i="28"/>
  <c r="L7" i="28"/>
  <c r="L8" i="28"/>
  <c r="L9" i="28"/>
  <c r="L10" i="28"/>
  <c r="L11" i="28"/>
  <c r="L12" i="28"/>
  <c r="L13" i="28"/>
  <c r="L15" i="28"/>
  <c r="L16" i="28"/>
  <c r="M6" i="28"/>
  <c r="M7" i="28"/>
  <c r="M8" i="28"/>
  <c r="M9" i="28"/>
  <c r="M10" i="28"/>
  <c r="M11" i="28"/>
  <c r="M12" i="28"/>
  <c r="M13" i="28"/>
  <c r="M15" i="28"/>
  <c r="M16" i="28"/>
  <c r="C6" i="28"/>
  <c r="C7" i="28"/>
  <c r="C8" i="28"/>
  <c r="C9" i="28"/>
  <c r="C10" i="28"/>
  <c r="C11" i="28"/>
  <c r="C12" i="28"/>
  <c r="C13" i="28"/>
  <c r="C15" i="28"/>
  <c r="C16" i="28"/>
  <c r="C7" i="35"/>
  <c r="D7" i="35"/>
  <c r="E7" i="35"/>
  <c r="F7" i="35"/>
  <c r="G7" i="35"/>
  <c r="H7" i="35"/>
  <c r="I7" i="35"/>
  <c r="J7" i="35"/>
  <c r="K7" i="35"/>
  <c r="L7" i="35"/>
  <c r="M7" i="35"/>
  <c r="M8" i="35"/>
  <c r="M11" i="35"/>
  <c r="M15" i="35"/>
  <c r="M16" i="35"/>
  <c r="M17" i="35"/>
  <c r="M25" i="35"/>
  <c r="M26" i="35"/>
  <c r="D7" i="19"/>
  <c r="D8" i="19"/>
  <c r="D15" i="19"/>
  <c r="E7" i="19"/>
  <c r="E8" i="19"/>
  <c r="E15" i="19"/>
  <c r="F7" i="19"/>
  <c r="F8" i="19"/>
  <c r="F15" i="19"/>
  <c r="G7" i="19"/>
  <c r="G8" i="19"/>
  <c r="G15" i="19"/>
  <c r="H7" i="19"/>
  <c r="H8" i="19"/>
  <c r="H15" i="19"/>
  <c r="I7" i="19"/>
  <c r="I8" i="19"/>
  <c r="I15" i="19"/>
  <c r="J7" i="19"/>
  <c r="J8" i="19"/>
  <c r="J15" i="19"/>
  <c r="K7" i="19"/>
  <c r="K8" i="19"/>
  <c r="K15" i="19"/>
  <c r="L7" i="19"/>
  <c r="L8" i="19"/>
  <c r="L15" i="19"/>
  <c r="M7" i="19"/>
  <c r="M8" i="19"/>
  <c r="M15" i="19"/>
  <c r="N15" i="19"/>
  <c r="D16" i="19"/>
  <c r="E16" i="19"/>
  <c r="F16" i="19"/>
  <c r="G16" i="19"/>
  <c r="H16" i="19"/>
  <c r="I16" i="19"/>
  <c r="J16" i="19"/>
  <c r="K16" i="19"/>
  <c r="L16" i="19"/>
  <c r="M16" i="19"/>
  <c r="N16" i="19"/>
  <c r="N17" i="19"/>
  <c r="M26" i="19"/>
  <c r="C7" i="26"/>
  <c r="D7" i="26"/>
  <c r="E7" i="26"/>
  <c r="F7" i="26"/>
  <c r="G7" i="26"/>
  <c r="H7" i="26"/>
  <c r="I7" i="26"/>
  <c r="J7" i="26"/>
  <c r="K7" i="26"/>
  <c r="L7" i="26"/>
  <c r="M7" i="26"/>
  <c r="M8" i="26"/>
  <c r="M11" i="26"/>
  <c r="M15" i="26"/>
  <c r="M16" i="26"/>
  <c r="M17" i="26"/>
  <c r="M25" i="26"/>
  <c r="M26" i="26"/>
  <c r="D7" i="36"/>
  <c r="D8" i="36"/>
  <c r="D15" i="36"/>
  <c r="E7" i="36"/>
  <c r="E8" i="36"/>
  <c r="E15" i="36"/>
  <c r="F7" i="36"/>
  <c r="F8" i="36"/>
  <c r="F15" i="36"/>
  <c r="G7" i="36"/>
  <c r="G8" i="36"/>
  <c r="G15" i="36"/>
  <c r="H7" i="36"/>
  <c r="H8" i="36"/>
  <c r="H15" i="36"/>
  <c r="I7" i="36"/>
  <c r="I8" i="36"/>
  <c r="I15" i="36"/>
  <c r="J7" i="36"/>
  <c r="J8" i="36"/>
  <c r="J15" i="36"/>
  <c r="K7" i="36"/>
  <c r="K8" i="36"/>
  <c r="K15" i="36"/>
  <c r="L7" i="36"/>
  <c r="L8" i="36"/>
  <c r="L15" i="36"/>
  <c r="M7" i="36"/>
  <c r="M8" i="36"/>
  <c r="M15" i="36"/>
  <c r="N15" i="36"/>
  <c r="D16" i="36"/>
  <c r="E16" i="36"/>
  <c r="F16" i="36"/>
  <c r="G16" i="36"/>
  <c r="H16" i="36"/>
  <c r="I16" i="36"/>
  <c r="J16" i="36"/>
  <c r="K16" i="36"/>
  <c r="L16" i="36"/>
  <c r="M16" i="36"/>
  <c r="N16" i="36"/>
  <c r="N17" i="36"/>
  <c r="M26" i="36"/>
  <c r="C7" i="20"/>
  <c r="D7" i="20"/>
  <c r="E7" i="20"/>
  <c r="F7" i="20"/>
  <c r="G7" i="20"/>
  <c r="H7" i="20"/>
  <c r="I7" i="20"/>
  <c r="J7" i="20"/>
  <c r="K7" i="20"/>
  <c r="L7" i="20"/>
  <c r="M7" i="20"/>
  <c r="M8" i="20"/>
  <c r="M9" i="20"/>
  <c r="M15" i="20"/>
  <c r="M16" i="20"/>
  <c r="M17" i="20"/>
  <c r="M25" i="20"/>
  <c r="M26" i="20"/>
  <c r="C7" i="22"/>
  <c r="D7" i="22"/>
  <c r="E7" i="22"/>
  <c r="F7" i="22"/>
  <c r="G7" i="22"/>
  <c r="H7" i="22"/>
  <c r="I7" i="22"/>
  <c r="J7" i="22"/>
  <c r="K7" i="22"/>
  <c r="L7" i="22"/>
  <c r="M7" i="22"/>
  <c r="M8" i="22"/>
  <c r="M9" i="22"/>
  <c r="M13" i="22"/>
  <c r="M14" i="22"/>
  <c r="M15" i="22"/>
  <c r="M23" i="22"/>
  <c r="M24" i="22"/>
  <c r="G8" i="23"/>
  <c r="G9" i="23"/>
  <c r="G10" i="23"/>
  <c r="H10" i="23"/>
  <c r="I10" i="23"/>
  <c r="J10" i="23"/>
  <c r="K10" i="23"/>
  <c r="L10" i="23"/>
  <c r="M10" i="23"/>
  <c r="M11" i="23"/>
  <c r="M14" i="23"/>
  <c r="M16" i="23"/>
  <c r="M17" i="23"/>
  <c r="M18" i="23"/>
  <c r="M25" i="23"/>
  <c r="M26" i="23"/>
  <c r="D7" i="32"/>
  <c r="E7" i="32"/>
  <c r="F7" i="32"/>
  <c r="G7" i="32"/>
  <c r="H7" i="32"/>
  <c r="I7" i="32"/>
  <c r="J7" i="32"/>
  <c r="K7" i="32"/>
  <c r="L7" i="32"/>
  <c r="M7" i="32"/>
  <c r="E8" i="32"/>
  <c r="E12" i="32"/>
  <c r="F8" i="32"/>
  <c r="F12" i="32"/>
  <c r="G8" i="32"/>
  <c r="G12" i="32"/>
  <c r="H8" i="32"/>
  <c r="H12" i="32"/>
  <c r="I8" i="32"/>
  <c r="I12" i="32"/>
  <c r="J8" i="32"/>
  <c r="J12" i="32"/>
  <c r="K8" i="32"/>
  <c r="K12" i="32"/>
  <c r="L8" i="32"/>
  <c r="L12" i="32"/>
  <c r="M8" i="32"/>
  <c r="M12" i="32"/>
  <c r="N12" i="32"/>
  <c r="E13" i="32"/>
  <c r="F13" i="32"/>
  <c r="G13" i="32"/>
  <c r="H13" i="32"/>
  <c r="I13" i="32"/>
  <c r="J13" i="32"/>
  <c r="K13" i="32"/>
  <c r="L13" i="32"/>
  <c r="M13" i="32"/>
  <c r="N13" i="32"/>
  <c r="N14" i="32"/>
  <c r="M23" i="32"/>
  <c r="F7" i="33"/>
  <c r="F8" i="33"/>
  <c r="F12" i="33"/>
  <c r="G7" i="33"/>
  <c r="G8" i="33"/>
  <c r="G12" i="33"/>
  <c r="H7" i="33"/>
  <c r="H8" i="33"/>
  <c r="H12" i="33"/>
  <c r="I7" i="33"/>
  <c r="I8" i="33"/>
  <c r="I12" i="33"/>
  <c r="J7" i="33"/>
  <c r="J8" i="33"/>
  <c r="J12" i="33"/>
  <c r="K7" i="33"/>
  <c r="K8" i="33"/>
  <c r="K12" i="33"/>
  <c r="L7" i="33"/>
  <c r="L8" i="33"/>
  <c r="L12" i="33"/>
  <c r="M7" i="33"/>
  <c r="M8" i="33"/>
  <c r="M12" i="33"/>
  <c r="N12" i="33"/>
  <c r="F13" i="33"/>
  <c r="G13" i="33"/>
  <c r="H13" i="33"/>
  <c r="I13" i="33"/>
  <c r="J13" i="33"/>
  <c r="K13" i="33"/>
  <c r="L13" i="33"/>
  <c r="M13" i="33"/>
  <c r="N13" i="33"/>
  <c r="N14" i="33"/>
  <c r="M23" i="33"/>
  <c r="C7" i="18"/>
  <c r="C8" i="18"/>
  <c r="D7" i="18"/>
  <c r="D8" i="18"/>
  <c r="E7" i="18"/>
  <c r="E8" i="18"/>
  <c r="F7" i="18"/>
  <c r="F8" i="18"/>
  <c r="G7" i="18"/>
  <c r="G8" i="18"/>
  <c r="H7" i="18"/>
  <c r="H8" i="18"/>
  <c r="I7" i="18"/>
  <c r="I8" i="18"/>
  <c r="J7" i="18"/>
  <c r="J8" i="18"/>
  <c r="K7" i="18"/>
  <c r="K8" i="18"/>
  <c r="L7" i="18"/>
  <c r="L8" i="18"/>
  <c r="M7" i="18"/>
  <c r="M8" i="18"/>
  <c r="M9" i="18"/>
  <c r="M27" i="18"/>
  <c r="M15" i="18"/>
  <c r="M28" i="18"/>
  <c r="M29" i="18"/>
  <c r="M24" i="18"/>
  <c r="M30" i="18"/>
  <c r="M31" i="18"/>
  <c r="M38" i="18"/>
  <c r="M39" i="18"/>
  <c r="M37" i="28"/>
  <c r="L33" i="30"/>
  <c r="M33" i="30"/>
  <c r="M38" i="28"/>
  <c r="L34" i="30"/>
  <c r="M17" i="19"/>
  <c r="M17" i="36"/>
  <c r="L26" i="30"/>
  <c r="E93" i="28"/>
  <c r="E94" i="28"/>
  <c r="E95" i="28"/>
  <c r="E96" i="28"/>
  <c r="E97" i="28"/>
  <c r="E98" i="28"/>
  <c r="E99" i="28"/>
  <c r="E100" i="28"/>
  <c r="E101" i="28"/>
  <c r="E102" i="28"/>
  <c r="E103" i="28"/>
  <c r="E104" i="28"/>
  <c r="E105" i="28"/>
  <c r="C42" i="30"/>
  <c r="C43" i="30"/>
  <c r="C21" i="35"/>
  <c r="C23" i="35"/>
  <c r="C19" i="28"/>
  <c r="D21" i="35"/>
  <c r="D23" i="35"/>
  <c r="D19" i="28"/>
  <c r="E21" i="35"/>
  <c r="E23" i="35"/>
  <c r="E19" i="28"/>
  <c r="F21" i="35"/>
  <c r="F23" i="35"/>
  <c r="F19" i="28"/>
  <c r="G21" i="35"/>
  <c r="G23" i="35"/>
  <c r="G19" i="28"/>
  <c r="H21" i="35"/>
  <c r="H23" i="35"/>
  <c r="H19" i="28"/>
  <c r="I21" i="35"/>
  <c r="I23" i="35"/>
  <c r="I19" i="28"/>
  <c r="J21" i="35"/>
  <c r="J23" i="35"/>
  <c r="J19" i="28"/>
  <c r="K21" i="35"/>
  <c r="K23" i="35"/>
  <c r="K19" i="28"/>
  <c r="L21" i="35"/>
  <c r="L23" i="35"/>
  <c r="L19" i="28"/>
  <c r="M21" i="35"/>
  <c r="M23" i="35"/>
  <c r="M19" i="28"/>
  <c r="E72" i="28"/>
  <c r="C21" i="19"/>
  <c r="C23" i="19"/>
  <c r="C20" i="28"/>
  <c r="D21" i="19"/>
  <c r="D23" i="19"/>
  <c r="D20" i="28"/>
  <c r="E21" i="19"/>
  <c r="E23" i="19"/>
  <c r="E20" i="28"/>
  <c r="F21" i="19"/>
  <c r="F23" i="19"/>
  <c r="F20" i="28"/>
  <c r="G21" i="19"/>
  <c r="G23" i="19"/>
  <c r="G20" i="28"/>
  <c r="H21" i="19"/>
  <c r="H23" i="19"/>
  <c r="H20" i="28"/>
  <c r="I21" i="19"/>
  <c r="I23" i="19"/>
  <c r="I20" i="28"/>
  <c r="J21" i="19"/>
  <c r="J23" i="19"/>
  <c r="J20" i="28"/>
  <c r="K21" i="19"/>
  <c r="K23" i="19"/>
  <c r="K20" i="28"/>
  <c r="L21" i="19"/>
  <c r="L23" i="19"/>
  <c r="L20" i="28"/>
  <c r="M21" i="19"/>
  <c r="M23" i="19"/>
  <c r="M20" i="28"/>
  <c r="E73" i="28"/>
  <c r="C21" i="26"/>
  <c r="C23" i="26"/>
  <c r="C21" i="28"/>
  <c r="D21" i="26"/>
  <c r="D23" i="26"/>
  <c r="D21" i="28"/>
  <c r="E21" i="26"/>
  <c r="E23" i="26"/>
  <c r="E21" i="28"/>
  <c r="F21" i="26"/>
  <c r="F23" i="26"/>
  <c r="F21" i="28"/>
  <c r="G21" i="26"/>
  <c r="G23" i="26"/>
  <c r="G21" i="28"/>
  <c r="H21" i="26"/>
  <c r="H23" i="26"/>
  <c r="H21" i="28"/>
  <c r="I21" i="26"/>
  <c r="I23" i="26"/>
  <c r="I21" i="28"/>
  <c r="J21" i="26"/>
  <c r="J23" i="26"/>
  <c r="J21" i="28"/>
  <c r="K21" i="26"/>
  <c r="K23" i="26"/>
  <c r="K21" i="28"/>
  <c r="L21" i="26"/>
  <c r="L23" i="26"/>
  <c r="L21" i="28"/>
  <c r="M21" i="26"/>
  <c r="M23" i="26"/>
  <c r="M21" i="28"/>
  <c r="E74" i="28"/>
  <c r="C21" i="36"/>
  <c r="C23" i="36"/>
  <c r="C22" i="28"/>
  <c r="D21" i="36"/>
  <c r="D23" i="36"/>
  <c r="D22" i="28"/>
  <c r="E21" i="36"/>
  <c r="E23" i="36"/>
  <c r="E22" i="28"/>
  <c r="F21" i="36"/>
  <c r="F23" i="36"/>
  <c r="F22" i="28"/>
  <c r="G21" i="36"/>
  <c r="G23" i="36"/>
  <c r="G22" i="28"/>
  <c r="H21" i="36"/>
  <c r="H23" i="36"/>
  <c r="H22" i="28"/>
  <c r="I21" i="36"/>
  <c r="I23" i="36"/>
  <c r="I22" i="28"/>
  <c r="J21" i="36"/>
  <c r="J23" i="36"/>
  <c r="J22" i="28"/>
  <c r="K21" i="36"/>
  <c r="K23" i="36"/>
  <c r="K22" i="28"/>
  <c r="L21" i="36"/>
  <c r="L23" i="36"/>
  <c r="L22" i="28"/>
  <c r="M21" i="36"/>
  <c r="M23" i="36"/>
  <c r="M22" i="28"/>
  <c r="E75" i="28"/>
  <c r="C21" i="20"/>
  <c r="C23" i="20"/>
  <c r="C23" i="28"/>
  <c r="D21" i="20"/>
  <c r="D23" i="20"/>
  <c r="D23" i="28"/>
  <c r="E21" i="20"/>
  <c r="E23" i="20"/>
  <c r="E23" i="28"/>
  <c r="F21" i="20"/>
  <c r="F23" i="20"/>
  <c r="F23" i="28"/>
  <c r="G21" i="20"/>
  <c r="G23" i="20"/>
  <c r="G23" i="28"/>
  <c r="H21" i="20"/>
  <c r="H23" i="20"/>
  <c r="H23" i="28"/>
  <c r="I21" i="20"/>
  <c r="I23" i="20"/>
  <c r="I23" i="28"/>
  <c r="J21" i="20"/>
  <c r="J23" i="20"/>
  <c r="J23" i="28"/>
  <c r="K21" i="20"/>
  <c r="K23" i="20"/>
  <c r="K23" i="28"/>
  <c r="L21" i="20"/>
  <c r="L23" i="20"/>
  <c r="L23" i="28"/>
  <c r="M21" i="20"/>
  <c r="M23" i="20"/>
  <c r="M23" i="28"/>
  <c r="E76" i="28"/>
  <c r="C19" i="22"/>
  <c r="C21" i="22"/>
  <c r="C24" i="28"/>
  <c r="D19" i="22"/>
  <c r="D21" i="22"/>
  <c r="D24" i="28"/>
  <c r="E19" i="22"/>
  <c r="E21" i="22"/>
  <c r="E24" i="28"/>
  <c r="F19" i="22"/>
  <c r="F21" i="22"/>
  <c r="F24" i="28"/>
  <c r="G19" i="22"/>
  <c r="G21" i="22"/>
  <c r="G24" i="28"/>
  <c r="H19" i="22"/>
  <c r="H21" i="22"/>
  <c r="H24" i="28"/>
  <c r="I19" i="22"/>
  <c r="I21" i="22"/>
  <c r="I24" i="28"/>
  <c r="J19" i="22"/>
  <c r="J21" i="22"/>
  <c r="J24" i="28"/>
  <c r="K19" i="22"/>
  <c r="K21" i="22"/>
  <c r="K24" i="28"/>
  <c r="L19" i="22"/>
  <c r="L21" i="22"/>
  <c r="L24" i="28"/>
  <c r="M19" i="22"/>
  <c r="M21" i="22"/>
  <c r="M24" i="28"/>
  <c r="E77" i="28"/>
  <c r="C25" i="28"/>
  <c r="D25" i="28"/>
  <c r="E25" i="28"/>
  <c r="F25" i="28"/>
  <c r="G21" i="23"/>
  <c r="G23" i="23"/>
  <c r="G25" i="28"/>
  <c r="H25" i="28"/>
  <c r="I25" i="28"/>
  <c r="J25" i="28"/>
  <c r="K25" i="28"/>
  <c r="L25" i="28"/>
  <c r="M25" i="28"/>
  <c r="E78" i="28"/>
  <c r="C34" i="18"/>
  <c r="C36" i="18"/>
  <c r="C26" i="28"/>
  <c r="D34" i="18"/>
  <c r="D36" i="18"/>
  <c r="D26" i="28"/>
  <c r="E34" i="18"/>
  <c r="E36" i="18"/>
  <c r="E26" i="28"/>
  <c r="F34" i="18"/>
  <c r="F36" i="18"/>
  <c r="F26" i="28"/>
  <c r="G34" i="18"/>
  <c r="G36" i="18"/>
  <c r="G26" i="28"/>
  <c r="H34" i="18"/>
  <c r="H36" i="18"/>
  <c r="H26" i="28"/>
  <c r="I34" i="18"/>
  <c r="I36" i="18"/>
  <c r="I26" i="28"/>
  <c r="J34" i="18"/>
  <c r="J36" i="18"/>
  <c r="J26" i="28"/>
  <c r="K34" i="18"/>
  <c r="K36" i="18"/>
  <c r="K26" i="28"/>
  <c r="L34" i="18"/>
  <c r="L36" i="18"/>
  <c r="L26" i="28"/>
  <c r="M34" i="18"/>
  <c r="M36" i="18"/>
  <c r="M26" i="28"/>
  <c r="E79" i="28"/>
  <c r="D18" i="15"/>
  <c r="E18" i="15"/>
  <c r="F18" i="15"/>
  <c r="G18" i="15"/>
  <c r="H18" i="15"/>
  <c r="I18" i="15"/>
  <c r="J18" i="15"/>
  <c r="K18" i="15"/>
  <c r="L18" i="15"/>
  <c r="M18" i="15"/>
  <c r="N18" i="15"/>
  <c r="E85" i="28"/>
  <c r="E88" i="28"/>
  <c r="D7" i="15"/>
  <c r="D8" i="15"/>
  <c r="D9" i="15"/>
  <c r="D10" i="15"/>
  <c r="D11" i="15"/>
  <c r="D12" i="15"/>
  <c r="D13" i="15"/>
  <c r="D14" i="15"/>
  <c r="D15" i="15"/>
  <c r="D16" i="15"/>
  <c r="D21" i="15"/>
  <c r="D22" i="15"/>
  <c r="D23" i="15"/>
  <c r="E7" i="15"/>
  <c r="E8" i="15"/>
  <c r="E9" i="15"/>
  <c r="E10" i="15"/>
  <c r="E11" i="15"/>
  <c r="E12" i="15"/>
  <c r="E13" i="15"/>
  <c r="E14" i="15"/>
  <c r="E15" i="15"/>
  <c r="E16" i="15"/>
  <c r="E21" i="15"/>
  <c r="E22" i="15"/>
  <c r="E23" i="15"/>
  <c r="F7" i="15"/>
  <c r="F8" i="15"/>
  <c r="F9" i="15"/>
  <c r="F10" i="15"/>
  <c r="F11" i="15"/>
  <c r="F12" i="15"/>
  <c r="F13" i="15"/>
  <c r="F14" i="15"/>
  <c r="F15" i="15"/>
  <c r="F16" i="15"/>
  <c r="F21" i="15"/>
  <c r="F22" i="15"/>
  <c r="F23" i="15"/>
  <c r="G7" i="15"/>
  <c r="G8" i="15"/>
  <c r="G9" i="15"/>
  <c r="G10" i="15"/>
  <c r="G11" i="15"/>
  <c r="G12" i="15"/>
  <c r="G13" i="15"/>
  <c r="G14" i="15"/>
  <c r="G15" i="15"/>
  <c r="G16" i="15"/>
  <c r="G21" i="15"/>
  <c r="G22" i="15"/>
  <c r="G23" i="15"/>
  <c r="H7" i="15"/>
  <c r="H8" i="15"/>
  <c r="H9" i="15"/>
  <c r="H10" i="15"/>
  <c r="H11" i="15"/>
  <c r="H12" i="15"/>
  <c r="H13" i="15"/>
  <c r="H14" i="15"/>
  <c r="H15" i="15"/>
  <c r="H16" i="15"/>
  <c r="H21" i="15"/>
  <c r="H22" i="15"/>
  <c r="H23" i="15"/>
  <c r="I7" i="15"/>
  <c r="I8" i="15"/>
  <c r="I9" i="15"/>
  <c r="I10" i="15"/>
  <c r="I11" i="15"/>
  <c r="I12" i="15"/>
  <c r="I13" i="15"/>
  <c r="I14" i="15"/>
  <c r="I15" i="15"/>
  <c r="I16" i="15"/>
  <c r="I21" i="15"/>
  <c r="I22" i="15"/>
  <c r="I23" i="15"/>
  <c r="J7" i="15"/>
  <c r="J8" i="15"/>
  <c r="J9" i="15"/>
  <c r="J10" i="15"/>
  <c r="J11" i="15"/>
  <c r="J12" i="15"/>
  <c r="J13" i="15"/>
  <c r="J14" i="15"/>
  <c r="J15" i="15"/>
  <c r="J16" i="15"/>
  <c r="J21" i="15"/>
  <c r="J22" i="15"/>
  <c r="J23" i="15"/>
  <c r="K7" i="15"/>
  <c r="K8" i="15"/>
  <c r="K9" i="15"/>
  <c r="K10" i="15"/>
  <c r="K11" i="15"/>
  <c r="K12" i="15"/>
  <c r="K13" i="15"/>
  <c r="K14" i="15"/>
  <c r="K15" i="15"/>
  <c r="K16" i="15"/>
  <c r="K21" i="15"/>
  <c r="K22" i="15"/>
  <c r="K23" i="15"/>
  <c r="L7" i="15"/>
  <c r="L8" i="15"/>
  <c r="L9" i="15"/>
  <c r="L10" i="15"/>
  <c r="L11" i="15"/>
  <c r="L12" i="15"/>
  <c r="L13" i="15"/>
  <c r="L14" i="15"/>
  <c r="L15" i="15"/>
  <c r="L16" i="15"/>
  <c r="L21" i="15"/>
  <c r="L22" i="15"/>
  <c r="L23" i="15"/>
  <c r="M7" i="15"/>
  <c r="M8" i="15"/>
  <c r="M9" i="15"/>
  <c r="M10" i="15"/>
  <c r="M11" i="15"/>
  <c r="M12" i="15"/>
  <c r="M13" i="15"/>
  <c r="M14" i="15"/>
  <c r="M15" i="15"/>
  <c r="M16" i="15"/>
  <c r="M21" i="15"/>
  <c r="M22" i="15"/>
  <c r="M23" i="15"/>
  <c r="N7" i="15"/>
  <c r="N8" i="15"/>
  <c r="N9" i="15"/>
  <c r="N10" i="15"/>
  <c r="N11" i="15"/>
  <c r="N12" i="15"/>
  <c r="N13" i="15"/>
  <c r="N14" i="15"/>
  <c r="N15" i="15"/>
  <c r="N16" i="15"/>
  <c r="N21" i="15"/>
  <c r="N22" i="15"/>
  <c r="N23" i="15"/>
  <c r="C88" i="28"/>
  <c r="E89" i="28"/>
  <c r="C44" i="30"/>
  <c r="C45" i="30"/>
  <c r="C47" i="30"/>
  <c r="B17" i="30"/>
  <c r="C28" i="28"/>
  <c r="C29" i="28"/>
  <c r="C33" i="28"/>
  <c r="C10" i="30"/>
  <c r="C12" i="30"/>
  <c r="C17" i="30"/>
  <c r="D29" i="28"/>
  <c r="D33" i="28"/>
  <c r="D10" i="30"/>
  <c r="D12" i="30"/>
  <c r="D17" i="30"/>
  <c r="E29" i="28"/>
  <c r="E33" i="28"/>
  <c r="E10" i="30"/>
  <c r="E12" i="30"/>
  <c r="E17" i="30"/>
  <c r="F29" i="28"/>
  <c r="F33" i="28"/>
  <c r="F10" i="30"/>
  <c r="F12" i="30"/>
  <c r="F17" i="30"/>
  <c r="G29" i="28"/>
  <c r="G33" i="28"/>
  <c r="G10" i="30"/>
  <c r="G12" i="30"/>
  <c r="G17" i="30"/>
  <c r="H29" i="28"/>
  <c r="H33" i="28"/>
  <c r="H10" i="30"/>
  <c r="H12" i="30"/>
  <c r="H17" i="30"/>
  <c r="I29" i="28"/>
  <c r="I33" i="28"/>
  <c r="I10" i="30"/>
  <c r="I12" i="30"/>
  <c r="I17" i="30"/>
  <c r="J29" i="28"/>
  <c r="J33" i="28"/>
  <c r="J10" i="30"/>
  <c r="J12" i="30"/>
  <c r="J17" i="30"/>
  <c r="K29" i="28"/>
  <c r="K33" i="28"/>
  <c r="K10" i="30"/>
  <c r="K12" i="30"/>
  <c r="K17" i="30"/>
  <c r="L29" i="28"/>
  <c r="L33" i="28"/>
  <c r="L10" i="30"/>
  <c r="L12" i="30"/>
  <c r="L17" i="30"/>
  <c r="L18" i="30"/>
  <c r="L21" i="30"/>
  <c r="L27" i="30"/>
  <c r="L28" i="30"/>
  <c r="L32" i="30"/>
  <c r="L22" i="30"/>
  <c r="L35" i="30"/>
  <c r="L36" i="30"/>
  <c r="C48" i="30"/>
  <c r="B15" i="30"/>
  <c r="B31" i="30"/>
  <c r="C8" i="35"/>
  <c r="C11" i="35"/>
  <c r="C15" i="35"/>
  <c r="C16" i="35"/>
  <c r="C17" i="35"/>
  <c r="C8" i="26"/>
  <c r="C11" i="26"/>
  <c r="C15" i="26"/>
  <c r="C16" i="26"/>
  <c r="C17" i="26"/>
  <c r="C8" i="22"/>
  <c r="C9" i="22"/>
  <c r="C13" i="22"/>
  <c r="C14" i="22"/>
  <c r="C15" i="22"/>
  <c r="C9" i="18"/>
  <c r="C27" i="18"/>
  <c r="C15" i="18"/>
  <c r="C28" i="18"/>
  <c r="C29" i="18"/>
  <c r="C24" i="18"/>
  <c r="C30" i="18"/>
  <c r="C31" i="18"/>
  <c r="B26" i="30"/>
  <c r="B18" i="30"/>
  <c r="B21" i="30"/>
  <c r="B27" i="30"/>
  <c r="B28" i="30"/>
  <c r="B32" i="30"/>
  <c r="B36" i="30"/>
  <c r="E8" i="35"/>
  <c r="E11" i="35"/>
  <c r="E15" i="35"/>
  <c r="E16" i="35"/>
  <c r="E17" i="35"/>
  <c r="E17" i="19"/>
  <c r="E8" i="26"/>
  <c r="E11" i="26"/>
  <c r="E15" i="26"/>
  <c r="E16" i="26"/>
  <c r="E17" i="26"/>
  <c r="E17" i="36"/>
  <c r="E8" i="20"/>
  <c r="E9" i="20"/>
  <c r="E15" i="20"/>
  <c r="E16" i="20"/>
  <c r="E17" i="20"/>
  <c r="E8" i="22"/>
  <c r="E9" i="22"/>
  <c r="E13" i="22"/>
  <c r="E14" i="22"/>
  <c r="E15" i="22"/>
  <c r="E9" i="18"/>
  <c r="E27" i="18"/>
  <c r="E15" i="18"/>
  <c r="E28" i="18"/>
  <c r="E29" i="18"/>
  <c r="E24" i="18"/>
  <c r="E30" i="18"/>
  <c r="E31" i="18"/>
  <c r="D26" i="30"/>
  <c r="D18" i="30"/>
  <c r="D21" i="30"/>
  <c r="D27" i="30"/>
  <c r="D28" i="30"/>
  <c r="D32" i="30"/>
  <c r="D36" i="30"/>
  <c r="F8" i="35"/>
  <c r="F11" i="35"/>
  <c r="F15" i="35"/>
  <c r="F16" i="35"/>
  <c r="F17" i="35"/>
  <c r="F17" i="19"/>
  <c r="F8" i="26"/>
  <c r="F11" i="26"/>
  <c r="F15" i="26"/>
  <c r="F16" i="26"/>
  <c r="F17" i="26"/>
  <c r="F17" i="36"/>
  <c r="F8" i="20"/>
  <c r="F9" i="20"/>
  <c r="F15" i="20"/>
  <c r="F16" i="20"/>
  <c r="F17" i="20"/>
  <c r="F8" i="22"/>
  <c r="F9" i="22"/>
  <c r="F13" i="22"/>
  <c r="F14" i="22"/>
  <c r="F15" i="22"/>
  <c r="F9" i="18"/>
  <c r="F27" i="18"/>
  <c r="F15" i="18"/>
  <c r="F28" i="18"/>
  <c r="F29" i="18"/>
  <c r="F24" i="18"/>
  <c r="F30" i="18"/>
  <c r="F31" i="18"/>
  <c r="E26" i="30"/>
  <c r="E18" i="30"/>
  <c r="E21" i="30"/>
  <c r="E27" i="30"/>
  <c r="E28" i="30"/>
  <c r="E32" i="30"/>
  <c r="E36" i="30"/>
  <c r="G8" i="35"/>
  <c r="G11" i="35"/>
  <c r="G15" i="35"/>
  <c r="G16" i="35"/>
  <c r="G17" i="35"/>
  <c r="G17" i="19"/>
  <c r="G8" i="26"/>
  <c r="G11" i="26"/>
  <c r="G15" i="26"/>
  <c r="G16" i="26"/>
  <c r="G17" i="26"/>
  <c r="G17" i="36"/>
  <c r="G8" i="20"/>
  <c r="G9" i="20"/>
  <c r="G15" i="20"/>
  <c r="G16" i="20"/>
  <c r="G17" i="20"/>
  <c r="G8" i="22"/>
  <c r="G9" i="22"/>
  <c r="G13" i="22"/>
  <c r="G14" i="22"/>
  <c r="G15" i="22"/>
  <c r="G11" i="23"/>
  <c r="G14" i="23"/>
  <c r="G16" i="23"/>
  <c r="G17" i="23"/>
  <c r="G18" i="23"/>
  <c r="G9" i="18"/>
  <c r="G27" i="18"/>
  <c r="G15" i="18"/>
  <c r="G28" i="18"/>
  <c r="G29" i="18"/>
  <c r="G24" i="18"/>
  <c r="G30" i="18"/>
  <c r="G31" i="18"/>
  <c r="F26" i="30"/>
  <c r="F18" i="30"/>
  <c r="F21" i="30"/>
  <c r="F27" i="30"/>
  <c r="F28" i="30"/>
  <c r="F32" i="30"/>
  <c r="F36" i="30"/>
  <c r="H8" i="35"/>
  <c r="H11" i="35"/>
  <c r="H15" i="35"/>
  <c r="H16" i="35"/>
  <c r="H17" i="35"/>
  <c r="H17" i="19"/>
  <c r="H8" i="26"/>
  <c r="H11" i="26"/>
  <c r="H15" i="26"/>
  <c r="H16" i="26"/>
  <c r="H17" i="26"/>
  <c r="H17" i="36"/>
  <c r="H8" i="20"/>
  <c r="H9" i="20"/>
  <c r="H15" i="20"/>
  <c r="H16" i="20"/>
  <c r="H17" i="20"/>
  <c r="H8" i="22"/>
  <c r="H9" i="22"/>
  <c r="H13" i="22"/>
  <c r="H14" i="22"/>
  <c r="H15" i="22"/>
  <c r="H11" i="23"/>
  <c r="H14" i="23"/>
  <c r="H16" i="23"/>
  <c r="H17" i="23"/>
  <c r="H18" i="23"/>
  <c r="H9" i="18"/>
  <c r="H27" i="18"/>
  <c r="H15" i="18"/>
  <c r="H28" i="18"/>
  <c r="H29" i="18"/>
  <c r="H24" i="18"/>
  <c r="H30" i="18"/>
  <c r="H31" i="18"/>
  <c r="G26" i="30"/>
  <c r="G18" i="30"/>
  <c r="G21" i="30"/>
  <c r="G27" i="30"/>
  <c r="G28" i="30"/>
  <c r="G32" i="30"/>
  <c r="G36" i="30"/>
  <c r="I8" i="35"/>
  <c r="I11" i="35"/>
  <c r="I15" i="35"/>
  <c r="I16" i="35"/>
  <c r="I17" i="35"/>
  <c r="I17" i="19"/>
  <c r="I8" i="26"/>
  <c r="I11" i="26"/>
  <c r="I15" i="26"/>
  <c r="I16" i="26"/>
  <c r="I17" i="26"/>
  <c r="I17" i="36"/>
  <c r="I8" i="20"/>
  <c r="I9" i="20"/>
  <c r="I15" i="20"/>
  <c r="I16" i="20"/>
  <c r="I17" i="20"/>
  <c r="I8" i="22"/>
  <c r="I9" i="22"/>
  <c r="I13" i="22"/>
  <c r="I14" i="22"/>
  <c r="I15" i="22"/>
  <c r="I11" i="23"/>
  <c r="I14" i="23"/>
  <c r="I16" i="23"/>
  <c r="I17" i="23"/>
  <c r="I18" i="23"/>
  <c r="I9" i="18"/>
  <c r="I27" i="18"/>
  <c r="I15" i="18"/>
  <c r="I28" i="18"/>
  <c r="I29" i="18"/>
  <c r="I24" i="18"/>
  <c r="I30" i="18"/>
  <c r="I31" i="18"/>
  <c r="H26" i="30"/>
  <c r="H18" i="30"/>
  <c r="H21" i="30"/>
  <c r="H27" i="30"/>
  <c r="H28" i="30"/>
  <c r="H32" i="30"/>
  <c r="H36" i="30"/>
  <c r="J8" i="35"/>
  <c r="J11" i="35"/>
  <c r="J15" i="35"/>
  <c r="J16" i="35"/>
  <c r="J17" i="35"/>
  <c r="J17" i="19"/>
  <c r="J8" i="26"/>
  <c r="J11" i="26"/>
  <c r="J15" i="26"/>
  <c r="J16" i="26"/>
  <c r="J17" i="26"/>
  <c r="J17" i="36"/>
  <c r="J8" i="20"/>
  <c r="J9" i="20"/>
  <c r="J15" i="20"/>
  <c r="J16" i="20"/>
  <c r="J17" i="20"/>
  <c r="J8" i="22"/>
  <c r="J9" i="22"/>
  <c r="J13" i="22"/>
  <c r="J14" i="22"/>
  <c r="J15" i="22"/>
  <c r="J11" i="23"/>
  <c r="J14" i="23"/>
  <c r="J16" i="23"/>
  <c r="J17" i="23"/>
  <c r="J18" i="23"/>
  <c r="J9" i="18"/>
  <c r="J27" i="18"/>
  <c r="J15" i="18"/>
  <c r="J28" i="18"/>
  <c r="J29" i="18"/>
  <c r="J24" i="18"/>
  <c r="J30" i="18"/>
  <c r="J31" i="18"/>
  <c r="I26" i="30"/>
  <c r="I18" i="30"/>
  <c r="I21" i="30"/>
  <c r="I27" i="30"/>
  <c r="I28" i="30"/>
  <c r="I32" i="30"/>
  <c r="I36" i="30"/>
  <c r="K8" i="35"/>
  <c r="K11" i="35"/>
  <c r="K15" i="35"/>
  <c r="K16" i="35"/>
  <c r="K17" i="35"/>
  <c r="K17" i="19"/>
  <c r="K8" i="26"/>
  <c r="K11" i="26"/>
  <c r="K15" i="26"/>
  <c r="K16" i="26"/>
  <c r="K17" i="26"/>
  <c r="K17" i="36"/>
  <c r="K8" i="20"/>
  <c r="K9" i="20"/>
  <c r="K15" i="20"/>
  <c r="K16" i="20"/>
  <c r="K17" i="20"/>
  <c r="K8" i="22"/>
  <c r="K9" i="22"/>
  <c r="K13" i="22"/>
  <c r="K14" i="22"/>
  <c r="K15" i="22"/>
  <c r="K11" i="23"/>
  <c r="K14" i="23"/>
  <c r="K16" i="23"/>
  <c r="K17" i="23"/>
  <c r="K18" i="23"/>
  <c r="K9" i="18"/>
  <c r="K27" i="18"/>
  <c r="K15" i="18"/>
  <c r="K28" i="18"/>
  <c r="K29" i="18"/>
  <c r="K24" i="18"/>
  <c r="K30" i="18"/>
  <c r="K31" i="18"/>
  <c r="J26" i="30"/>
  <c r="J18" i="30"/>
  <c r="J21" i="30"/>
  <c r="J27" i="30"/>
  <c r="J28" i="30"/>
  <c r="J32" i="30"/>
  <c r="J36" i="30"/>
  <c r="L8" i="35"/>
  <c r="L11" i="35"/>
  <c r="L15" i="35"/>
  <c r="L16" i="35"/>
  <c r="L17" i="35"/>
  <c r="L17" i="19"/>
  <c r="L8" i="26"/>
  <c r="L11" i="26"/>
  <c r="L15" i="26"/>
  <c r="L16" i="26"/>
  <c r="L17" i="26"/>
  <c r="L17" i="36"/>
  <c r="L8" i="20"/>
  <c r="L9" i="20"/>
  <c r="L15" i="20"/>
  <c r="L16" i="20"/>
  <c r="L17" i="20"/>
  <c r="L8" i="22"/>
  <c r="L9" i="22"/>
  <c r="L13" i="22"/>
  <c r="L14" i="22"/>
  <c r="L15" i="22"/>
  <c r="L11" i="23"/>
  <c r="L14" i="23"/>
  <c r="L16" i="23"/>
  <c r="L17" i="23"/>
  <c r="L18" i="23"/>
  <c r="L9" i="18"/>
  <c r="L27" i="18"/>
  <c r="L15" i="18"/>
  <c r="L28" i="18"/>
  <c r="L29" i="18"/>
  <c r="L24" i="18"/>
  <c r="L30" i="18"/>
  <c r="L31" i="18"/>
  <c r="K26" i="30"/>
  <c r="K18" i="30"/>
  <c r="K21" i="30"/>
  <c r="K27" i="30"/>
  <c r="K28" i="30"/>
  <c r="K32" i="30"/>
  <c r="K36" i="30"/>
  <c r="D8" i="35"/>
  <c r="D11" i="35"/>
  <c r="D15" i="35"/>
  <c r="D16" i="35"/>
  <c r="D17" i="35"/>
  <c r="D17" i="19"/>
  <c r="D8" i="26"/>
  <c r="D11" i="26"/>
  <c r="D15" i="26"/>
  <c r="D16" i="26"/>
  <c r="D17" i="26"/>
  <c r="D17" i="36"/>
  <c r="D8" i="20"/>
  <c r="D9" i="20"/>
  <c r="D15" i="20"/>
  <c r="D16" i="20"/>
  <c r="D17" i="20"/>
  <c r="D8" i="22"/>
  <c r="D9" i="22"/>
  <c r="D13" i="22"/>
  <c r="D14" i="22"/>
  <c r="D15" i="22"/>
  <c r="D9" i="18"/>
  <c r="D27" i="18"/>
  <c r="D15" i="18"/>
  <c r="D28" i="18"/>
  <c r="D29" i="18"/>
  <c r="D24" i="18"/>
  <c r="D30" i="18"/>
  <c r="D31" i="18"/>
  <c r="C26" i="30"/>
  <c r="C18" i="30"/>
  <c r="C21" i="30"/>
  <c r="C27" i="30"/>
  <c r="C28" i="30"/>
  <c r="C32" i="30"/>
  <c r="C36" i="30"/>
  <c r="B38" i="30"/>
  <c r="C46" i="28"/>
  <c r="D62" i="28"/>
  <c r="O7" i="29"/>
  <c r="O9" i="29"/>
  <c r="E9" i="29"/>
  <c r="O11" i="29"/>
  <c r="E11" i="29"/>
  <c r="O8" i="29"/>
  <c r="O10" i="29"/>
  <c r="E10" i="29"/>
  <c r="O12" i="29"/>
  <c r="E12" i="29"/>
  <c r="O13" i="29"/>
  <c r="E13" i="29"/>
  <c r="O20" i="29"/>
  <c r="E20" i="29"/>
  <c r="O23" i="29"/>
  <c r="E23" i="29"/>
  <c r="F9" i="29"/>
  <c r="F11" i="29"/>
  <c r="F12" i="29"/>
  <c r="F13" i="29"/>
  <c r="F20" i="29"/>
  <c r="F23" i="29"/>
  <c r="P7" i="29"/>
  <c r="P9" i="29"/>
  <c r="H9" i="29"/>
  <c r="P11" i="29"/>
  <c r="H11" i="29"/>
  <c r="P8" i="29"/>
  <c r="P10" i="29"/>
  <c r="H10" i="29"/>
  <c r="P12" i="29"/>
  <c r="H12" i="29"/>
  <c r="P13" i="29"/>
  <c r="H13" i="29"/>
  <c r="P20" i="29"/>
  <c r="H20" i="29"/>
  <c r="P23" i="29"/>
  <c r="H23" i="29"/>
  <c r="I9" i="29"/>
  <c r="I11" i="29"/>
  <c r="I10" i="29"/>
  <c r="I12" i="29"/>
  <c r="I13" i="29"/>
  <c r="I20" i="29"/>
  <c r="I23" i="29"/>
  <c r="J20" i="29"/>
  <c r="Q7" i="29"/>
  <c r="Q9" i="29"/>
  <c r="K9" i="29"/>
  <c r="Q11" i="29"/>
  <c r="K11" i="29"/>
  <c r="Q8" i="29"/>
  <c r="Q10" i="29"/>
  <c r="K10" i="29"/>
  <c r="Q12" i="29"/>
  <c r="K12" i="29"/>
  <c r="Q13" i="29"/>
  <c r="K13" i="29"/>
  <c r="Q20" i="29"/>
  <c r="K20" i="29"/>
  <c r="Q23" i="29"/>
  <c r="K23" i="29"/>
  <c r="L9" i="29"/>
  <c r="L11" i="29"/>
  <c r="L10" i="29"/>
  <c r="L12" i="29"/>
  <c r="L13" i="29"/>
  <c r="L20" i="29"/>
  <c r="L23" i="29"/>
  <c r="M20" i="29"/>
  <c r="C22" i="15"/>
  <c r="C23" i="15"/>
  <c r="C82" i="28"/>
  <c r="C83" i="28"/>
  <c r="E62" i="28"/>
  <c r="D25" i="29"/>
  <c r="D50" i="29"/>
  <c r="F62" i="28"/>
  <c r="O6" i="29"/>
  <c r="E6" i="29"/>
  <c r="O15" i="29"/>
  <c r="E15" i="29"/>
  <c r="O16" i="29"/>
  <c r="E16" i="29"/>
  <c r="E25" i="29"/>
  <c r="O31" i="29"/>
  <c r="E31" i="29"/>
  <c r="O32" i="29"/>
  <c r="O34" i="29"/>
  <c r="E34" i="29"/>
  <c r="O33" i="29"/>
  <c r="O35" i="29"/>
  <c r="E35" i="29"/>
  <c r="O36" i="29"/>
  <c r="E36" i="29"/>
  <c r="O37" i="29"/>
  <c r="E37" i="29"/>
  <c r="O38" i="29"/>
  <c r="E38" i="29"/>
  <c r="O40" i="29"/>
  <c r="E40" i="29"/>
  <c r="O41" i="29"/>
  <c r="E41" i="29"/>
  <c r="O45" i="29"/>
  <c r="E45" i="29"/>
  <c r="E50" i="29"/>
  <c r="G62" i="28"/>
  <c r="F6" i="29"/>
  <c r="F15" i="29"/>
  <c r="F16" i="29"/>
  <c r="F25" i="29"/>
  <c r="F29" i="29"/>
  <c r="F31" i="29"/>
  <c r="F34" i="29"/>
  <c r="F36" i="29"/>
  <c r="F37" i="29"/>
  <c r="F38" i="29"/>
  <c r="F40" i="29"/>
  <c r="F41" i="29"/>
  <c r="F45" i="29"/>
  <c r="F50" i="29"/>
  <c r="H62" i="28"/>
  <c r="G15" i="29"/>
  <c r="G25" i="29"/>
  <c r="G29" i="29"/>
  <c r="G50" i="29"/>
  <c r="I62" i="28"/>
  <c r="P6" i="29"/>
  <c r="H6" i="29"/>
  <c r="P14" i="29"/>
  <c r="H14" i="29"/>
  <c r="P15" i="29"/>
  <c r="H15" i="29"/>
  <c r="P16" i="29"/>
  <c r="H16" i="29"/>
  <c r="H25" i="29"/>
  <c r="H29" i="29"/>
  <c r="P31" i="29"/>
  <c r="H31" i="29"/>
  <c r="P32" i="29"/>
  <c r="P34" i="29"/>
  <c r="H34" i="29"/>
  <c r="P33" i="29"/>
  <c r="P35" i="29"/>
  <c r="H35" i="29"/>
  <c r="P36" i="29"/>
  <c r="H36" i="29"/>
  <c r="P37" i="29"/>
  <c r="H37" i="29"/>
  <c r="P38" i="29"/>
  <c r="H38" i="29"/>
  <c r="P39" i="29"/>
  <c r="H39" i="29"/>
  <c r="P40" i="29"/>
  <c r="H40" i="29"/>
  <c r="P41" i="29"/>
  <c r="H41" i="29"/>
  <c r="P45" i="29"/>
  <c r="H45" i="29"/>
  <c r="H50" i="29"/>
  <c r="J62" i="28"/>
  <c r="I6" i="29"/>
  <c r="I15" i="29"/>
  <c r="I16" i="29"/>
  <c r="I25" i="29"/>
  <c r="I29" i="29"/>
  <c r="I31" i="29"/>
  <c r="I34" i="29"/>
  <c r="I35" i="29"/>
  <c r="I36" i="29"/>
  <c r="I37" i="29"/>
  <c r="I38" i="29"/>
  <c r="I40" i="29"/>
  <c r="I41" i="29"/>
  <c r="I45" i="29"/>
  <c r="I50" i="29"/>
  <c r="K62" i="28"/>
  <c r="J25" i="29"/>
  <c r="J29" i="29"/>
  <c r="J50" i="29"/>
  <c r="L62" i="28"/>
  <c r="Q31" i="29"/>
  <c r="K31" i="29"/>
  <c r="L31" i="29"/>
  <c r="C49" i="30"/>
  <c r="C51" i="30"/>
  <c r="K88" i="28"/>
  <c r="Q6" i="29"/>
  <c r="K6" i="29"/>
  <c r="Q15" i="29"/>
  <c r="K15" i="29"/>
  <c r="Q16" i="29"/>
  <c r="K16" i="29"/>
  <c r="K25" i="29"/>
  <c r="K29" i="29"/>
  <c r="Q32" i="29"/>
  <c r="Q34" i="29"/>
  <c r="K34" i="29"/>
  <c r="Q33" i="29"/>
  <c r="Q35" i="29"/>
  <c r="K35" i="29"/>
  <c r="Q36" i="29"/>
  <c r="K36" i="29"/>
  <c r="Q37" i="29"/>
  <c r="K37" i="29"/>
  <c r="Q38" i="29"/>
  <c r="K38" i="29"/>
  <c r="Q40" i="29"/>
  <c r="K40" i="29"/>
  <c r="Q41" i="29"/>
  <c r="K41" i="29"/>
  <c r="Q45" i="29"/>
  <c r="K45" i="29"/>
  <c r="K50" i="29"/>
  <c r="M62" i="28"/>
  <c r="L6" i="29"/>
  <c r="L15" i="29"/>
  <c r="L16" i="29"/>
  <c r="L25" i="29"/>
  <c r="L29" i="29"/>
  <c r="L34" i="29"/>
  <c r="L35" i="29"/>
  <c r="L36" i="29"/>
  <c r="L37" i="29"/>
  <c r="L38" i="29"/>
  <c r="L40" i="29"/>
  <c r="L41" i="29"/>
  <c r="L45" i="29"/>
  <c r="L50" i="29"/>
  <c r="C84" i="28"/>
  <c r="E4" i="18"/>
  <c r="F4" i="18"/>
  <c r="G4" i="18"/>
  <c r="H4" i="18"/>
  <c r="I4" i="18"/>
  <c r="J4" i="18"/>
  <c r="K4" i="18"/>
  <c r="L4" i="18"/>
  <c r="M4" i="18"/>
  <c r="E4" i="33"/>
  <c r="F4" i="33"/>
  <c r="G4" i="33"/>
  <c r="H4" i="33"/>
  <c r="I4" i="33"/>
  <c r="J4" i="33"/>
  <c r="K4" i="33"/>
  <c r="L4" i="33"/>
  <c r="M4" i="33"/>
  <c r="E4" i="32"/>
  <c r="F4" i="32"/>
  <c r="G4" i="32"/>
  <c r="H4" i="32"/>
  <c r="I4" i="32"/>
  <c r="J4" i="32"/>
  <c r="K4" i="32"/>
  <c r="L4" i="32"/>
  <c r="M4" i="32"/>
  <c r="E4" i="23"/>
  <c r="F4" i="23"/>
  <c r="G4" i="23"/>
  <c r="H4" i="23"/>
  <c r="I4" i="23"/>
  <c r="J4" i="23"/>
  <c r="K4" i="23"/>
  <c r="L4" i="23"/>
  <c r="M4" i="23"/>
  <c r="E4" i="22"/>
  <c r="F4" i="22"/>
  <c r="G4" i="22"/>
  <c r="H4" i="22"/>
  <c r="I4" i="22"/>
  <c r="J4" i="22"/>
  <c r="K4" i="22"/>
  <c r="L4" i="22"/>
  <c r="M4" i="22"/>
  <c r="E4" i="20"/>
  <c r="F4" i="20"/>
  <c r="G4" i="20"/>
  <c r="H4" i="20"/>
  <c r="I4" i="20"/>
  <c r="J4" i="20"/>
  <c r="K4" i="20"/>
  <c r="L4" i="20"/>
  <c r="M4" i="20"/>
  <c r="E4" i="36"/>
  <c r="F4" i="36"/>
  <c r="G4" i="36"/>
  <c r="H4" i="36"/>
  <c r="I4" i="36"/>
  <c r="J4" i="36"/>
  <c r="K4" i="36"/>
  <c r="L4" i="36"/>
  <c r="M4" i="36"/>
  <c r="E4" i="26"/>
  <c r="F4" i="26"/>
  <c r="G4" i="26"/>
  <c r="H4" i="26"/>
  <c r="I4" i="26"/>
  <c r="J4" i="26"/>
  <c r="K4" i="26"/>
  <c r="L4" i="26"/>
  <c r="M4" i="26"/>
  <c r="E4" i="19"/>
  <c r="F4" i="19"/>
  <c r="G4" i="19"/>
  <c r="H4" i="19"/>
  <c r="I4" i="19"/>
  <c r="J4" i="19"/>
  <c r="K4" i="19"/>
  <c r="L4" i="19"/>
  <c r="M4" i="19"/>
  <c r="E4" i="35"/>
  <c r="F4" i="35"/>
  <c r="G4" i="35"/>
  <c r="H4" i="35"/>
  <c r="I4" i="35"/>
  <c r="J4" i="35"/>
  <c r="K4" i="35"/>
  <c r="L4" i="35"/>
  <c r="M4" i="35"/>
  <c r="B10" i="30"/>
  <c r="B8" i="30"/>
  <c r="B11" i="30"/>
  <c r="B9" i="30"/>
  <c r="B12" i="30"/>
  <c r="M45" i="29"/>
  <c r="C50" i="30"/>
  <c r="C52" i="30"/>
  <c r="K72" i="28"/>
  <c r="K73" i="28"/>
  <c r="K79" i="28"/>
  <c r="K80" i="28"/>
  <c r="K87" i="28"/>
  <c r="K89" i="28"/>
  <c r="M72" i="28"/>
  <c r="M73" i="28"/>
  <c r="M79" i="28"/>
  <c r="M80" i="28"/>
  <c r="M87" i="28"/>
  <c r="M88" i="28"/>
  <c r="M89" i="28"/>
  <c r="M91" i="28"/>
  <c r="M29" i="28"/>
  <c r="M33" i="28"/>
  <c r="C53" i="30"/>
  <c r="B11" i="22"/>
  <c r="C11" i="22"/>
  <c r="D11" i="22"/>
  <c r="E11" i="22"/>
  <c r="F11" i="22"/>
  <c r="G11" i="22"/>
  <c r="H11" i="22"/>
  <c r="I11" i="22"/>
  <c r="J11" i="22"/>
  <c r="K11" i="22"/>
  <c r="L11" i="22"/>
  <c r="M11" i="22"/>
  <c r="M55" i="28"/>
  <c r="C78" i="28"/>
  <c r="D64" i="28"/>
  <c r="E64" i="28"/>
  <c r="F64" i="28"/>
  <c r="G64" i="28"/>
  <c r="H64" i="28"/>
  <c r="I64" i="28"/>
  <c r="J64" i="28"/>
  <c r="K64" i="28"/>
  <c r="L64" i="28"/>
  <c r="M64" i="28"/>
  <c r="C77" i="28"/>
  <c r="D63" i="28"/>
  <c r="E63" i="28"/>
  <c r="F63" i="28"/>
  <c r="G63" i="28"/>
  <c r="H63" i="28"/>
  <c r="I63" i="28"/>
  <c r="J63" i="28"/>
  <c r="K63" i="28"/>
  <c r="L63" i="28"/>
  <c r="M63" i="28"/>
  <c r="C76" i="28"/>
  <c r="L11" i="36"/>
  <c r="M54" i="28"/>
  <c r="C75" i="28"/>
  <c r="E65" i="28"/>
  <c r="F65" i="28"/>
  <c r="G65" i="28"/>
  <c r="H65" i="28"/>
  <c r="I65" i="28"/>
  <c r="J65" i="28"/>
  <c r="K65" i="28"/>
  <c r="L65" i="28"/>
  <c r="M65" i="28"/>
  <c r="D65" i="28"/>
  <c r="H55" i="28"/>
  <c r="I55" i="28"/>
  <c r="J55" i="28"/>
  <c r="K55" i="28"/>
  <c r="L55" i="28"/>
  <c r="M18" i="18"/>
  <c r="C18" i="18"/>
  <c r="D18" i="18"/>
  <c r="E18" i="18"/>
  <c r="F18" i="18"/>
  <c r="G18" i="18"/>
  <c r="H18" i="18"/>
  <c r="I18" i="18"/>
  <c r="J18" i="18"/>
  <c r="K18" i="18"/>
  <c r="L18" i="18"/>
  <c r="B16" i="18"/>
  <c r="C13" i="18"/>
  <c r="D13" i="18"/>
  <c r="E13" i="18"/>
  <c r="F13" i="18"/>
  <c r="G13" i="18"/>
  <c r="H13" i="18"/>
  <c r="I13" i="18"/>
  <c r="J13" i="18"/>
  <c r="K13" i="18"/>
  <c r="L13" i="18"/>
  <c r="M13" i="18"/>
  <c r="C12" i="35"/>
  <c r="E12" i="35"/>
  <c r="E13" i="35"/>
  <c r="F12" i="35"/>
  <c r="F13" i="35"/>
  <c r="G12" i="35"/>
  <c r="G13" i="35"/>
  <c r="H12" i="35"/>
  <c r="H13" i="35"/>
  <c r="I12" i="35"/>
  <c r="I13" i="35"/>
  <c r="J12" i="35"/>
  <c r="J13" i="35"/>
  <c r="K12" i="35"/>
  <c r="K13" i="35"/>
  <c r="L12" i="35"/>
  <c r="L13" i="35"/>
  <c r="M12" i="35"/>
  <c r="M13" i="35"/>
  <c r="D12" i="35"/>
  <c r="D13" i="35"/>
  <c r="C13" i="35"/>
  <c r="C12" i="26"/>
  <c r="E12" i="26"/>
  <c r="E13" i="26"/>
  <c r="F12" i="26"/>
  <c r="F13" i="26"/>
  <c r="G12" i="26"/>
  <c r="G13" i="26"/>
  <c r="H12" i="26"/>
  <c r="H13" i="26"/>
  <c r="I12" i="26"/>
  <c r="I13" i="26"/>
  <c r="J12" i="26"/>
  <c r="J13" i="26"/>
  <c r="K12" i="26"/>
  <c r="K13" i="26"/>
  <c r="L12" i="26"/>
  <c r="L13" i="26"/>
  <c r="M12" i="26"/>
  <c r="M13" i="26"/>
  <c r="D12" i="26"/>
  <c r="D13" i="26"/>
  <c r="C13" i="26"/>
  <c r="G25" i="23"/>
  <c r="G28" i="23"/>
  <c r="G29" i="23"/>
  <c r="H25" i="23"/>
  <c r="H29" i="23"/>
  <c r="I25" i="23"/>
  <c r="I29" i="23"/>
  <c r="J25" i="23"/>
  <c r="J29" i="23"/>
  <c r="K25" i="23"/>
  <c r="K29" i="23"/>
  <c r="L25" i="23"/>
  <c r="L29" i="23"/>
  <c r="M27" i="23"/>
  <c r="M29" i="23"/>
  <c r="C31" i="23"/>
  <c r="C30" i="23"/>
  <c r="D29" i="23"/>
  <c r="E29" i="23"/>
  <c r="F29" i="23"/>
  <c r="C29" i="23"/>
  <c r="D28" i="23"/>
  <c r="E28" i="23"/>
  <c r="F28" i="23"/>
  <c r="H28" i="23"/>
  <c r="I28" i="23"/>
  <c r="J28" i="23"/>
  <c r="K28" i="23"/>
  <c r="L28" i="23"/>
  <c r="M28" i="23"/>
  <c r="C28" i="23"/>
  <c r="C25" i="23"/>
  <c r="D25" i="23"/>
  <c r="E25" i="23"/>
  <c r="F25" i="23"/>
  <c r="H8" i="23"/>
  <c r="H9" i="23"/>
  <c r="D8" i="23"/>
  <c r="D9" i="23"/>
  <c r="D11" i="23"/>
  <c r="D14" i="23"/>
  <c r="E8" i="23"/>
  <c r="E9" i="23"/>
  <c r="E11" i="23"/>
  <c r="E14" i="23"/>
  <c r="F8" i="23"/>
  <c r="F9" i="23"/>
  <c r="F11" i="23"/>
  <c r="F14" i="23"/>
  <c r="I8" i="23"/>
  <c r="I9" i="23"/>
  <c r="J8" i="23"/>
  <c r="J9" i="23"/>
  <c r="K8" i="23"/>
  <c r="K9" i="23"/>
  <c r="L8" i="23"/>
  <c r="L9" i="23"/>
  <c r="M8" i="23"/>
  <c r="M9" i="23"/>
  <c r="C8" i="23"/>
  <c r="C9" i="23"/>
  <c r="C11" i="23"/>
  <c r="C14" i="23"/>
  <c r="Q39" i="29"/>
  <c r="O39" i="29"/>
  <c r="D7" i="23"/>
  <c r="E7" i="23"/>
  <c r="F7" i="23"/>
  <c r="G7" i="23"/>
  <c r="H7" i="23"/>
  <c r="I7" i="23"/>
  <c r="J7" i="23"/>
  <c r="K7" i="23"/>
  <c r="L7" i="23"/>
  <c r="M7" i="23"/>
  <c r="C7" i="23"/>
  <c r="O15" i="34"/>
  <c r="L15" i="34"/>
  <c r="I15" i="34"/>
  <c r="J15" i="34"/>
  <c r="C15" i="34"/>
  <c r="D15" i="34"/>
  <c r="E15" i="34"/>
  <c r="F15" i="34"/>
  <c r="G15" i="34"/>
  <c r="M15" i="34"/>
  <c r="D26" i="34"/>
  <c r="D27" i="34"/>
  <c r="D44" i="34"/>
  <c r="D46" i="34"/>
  <c r="D48" i="34"/>
  <c r="E26" i="34"/>
  <c r="E27" i="34"/>
  <c r="E44" i="34"/>
  <c r="E46" i="34"/>
  <c r="E48" i="34"/>
  <c r="F26" i="34"/>
  <c r="F27" i="34"/>
  <c r="F44" i="34"/>
  <c r="F46" i="34"/>
  <c r="F48" i="34"/>
  <c r="H26" i="34"/>
  <c r="H27" i="34"/>
  <c r="H44" i="34"/>
  <c r="H46" i="34"/>
  <c r="H48" i="34"/>
  <c r="I26" i="34"/>
  <c r="I27" i="34"/>
  <c r="I44" i="34"/>
  <c r="I46" i="34"/>
  <c r="I48" i="34"/>
  <c r="J26" i="34"/>
  <c r="J27" i="34"/>
  <c r="J44" i="34"/>
  <c r="J46" i="34"/>
  <c r="J48" i="34"/>
  <c r="K26" i="34"/>
  <c r="K27" i="34"/>
  <c r="K44" i="34"/>
  <c r="K46" i="34"/>
  <c r="K48" i="34"/>
  <c r="L26" i="34"/>
  <c r="L27" i="34"/>
  <c r="L44" i="34"/>
  <c r="L46" i="34"/>
  <c r="L48" i="34"/>
  <c r="M26" i="34"/>
  <c r="M27" i="34"/>
  <c r="M44" i="34"/>
  <c r="M46" i="34"/>
  <c r="M48" i="34"/>
  <c r="N26" i="34"/>
  <c r="N27" i="34"/>
  <c r="N44" i="34"/>
  <c r="N46" i="34"/>
  <c r="N48" i="34"/>
  <c r="O26" i="34"/>
  <c r="O27" i="34"/>
  <c r="O44" i="34"/>
  <c r="O46" i="34"/>
  <c r="O48" i="34"/>
  <c r="Q48" i="34"/>
  <c r="D47" i="34"/>
  <c r="E47" i="34"/>
  <c r="F47" i="34"/>
  <c r="H47" i="34"/>
  <c r="I47" i="34"/>
  <c r="J47" i="34"/>
  <c r="K47" i="34"/>
  <c r="L47" i="34"/>
  <c r="M47" i="34"/>
  <c r="N47" i="34"/>
  <c r="O47" i="34"/>
  <c r="Q47" i="34"/>
  <c r="Q46" i="34"/>
  <c r="D45" i="34"/>
  <c r="E45" i="34"/>
  <c r="F45" i="34"/>
  <c r="H45" i="34"/>
  <c r="I45" i="34"/>
  <c r="J45" i="34"/>
  <c r="K45" i="34"/>
  <c r="L45" i="34"/>
  <c r="M45" i="34"/>
  <c r="N45" i="34"/>
  <c r="O45" i="34"/>
  <c r="Q45" i="34"/>
  <c r="Q50" i="34"/>
  <c r="Q49" i="34"/>
  <c r="D13" i="34"/>
  <c r="E13" i="34"/>
  <c r="F13" i="34"/>
  <c r="G13" i="34"/>
  <c r="H13" i="34"/>
  <c r="K15" i="34"/>
  <c r="K13" i="34"/>
  <c r="L13" i="34"/>
  <c r="M13" i="34"/>
  <c r="N15" i="34"/>
  <c r="N13" i="34"/>
  <c r="O13" i="34"/>
  <c r="Q13" i="34"/>
  <c r="H15" i="34"/>
  <c r="C25" i="35"/>
  <c r="C26" i="35"/>
  <c r="C27" i="35"/>
  <c r="C20" i="35"/>
  <c r="C28" i="35"/>
  <c r="C29" i="35"/>
  <c r="C24" i="34"/>
  <c r="C25" i="34"/>
  <c r="D24" i="34"/>
  <c r="D25" i="34"/>
  <c r="E24" i="34"/>
  <c r="E25" i="34"/>
  <c r="F24" i="34"/>
  <c r="F25" i="34"/>
  <c r="O24" i="34"/>
  <c r="O25" i="34"/>
  <c r="D25" i="35"/>
  <c r="D20" i="35"/>
  <c r="D28" i="35"/>
  <c r="D27" i="35"/>
  <c r="D29" i="35"/>
  <c r="E25" i="35"/>
  <c r="E20" i="35"/>
  <c r="E28" i="35"/>
  <c r="E27" i="35"/>
  <c r="E29" i="35"/>
  <c r="F25" i="35"/>
  <c r="F20" i="35"/>
  <c r="F28" i="35"/>
  <c r="F27" i="35"/>
  <c r="F29" i="35"/>
  <c r="I24" i="34"/>
  <c r="I25" i="34"/>
  <c r="J24" i="34"/>
  <c r="J25" i="34"/>
  <c r="N24" i="34"/>
  <c r="N25" i="34"/>
  <c r="G25" i="35"/>
  <c r="G20" i="35"/>
  <c r="G28" i="35"/>
  <c r="G27" i="35"/>
  <c r="G29" i="35"/>
  <c r="H25" i="35"/>
  <c r="H20" i="35"/>
  <c r="H28" i="35"/>
  <c r="H27" i="35"/>
  <c r="H29" i="35"/>
  <c r="I25" i="35"/>
  <c r="I20" i="35"/>
  <c r="I28" i="35"/>
  <c r="I27" i="35"/>
  <c r="I29" i="35"/>
  <c r="K24" i="34"/>
  <c r="K25" i="34"/>
  <c r="L24" i="34"/>
  <c r="L25" i="34"/>
  <c r="M24" i="34"/>
  <c r="M25" i="34"/>
  <c r="J25" i="35"/>
  <c r="J20" i="35"/>
  <c r="J28" i="35"/>
  <c r="J27" i="35"/>
  <c r="J29" i="35"/>
  <c r="K25" i="35"/>
  <c r="K20" i="35"/>
  <c r="K28" i="35"/>
  <c r="K27" i="35"/>
  <c r="K29" i="35"/>
  <c r="L25" i="35"/>
  <c r="L20" i="35"/>
  <c r="L28" i="35"/>
  <c r="L27" i="35"/>
  <c r="L29" i="35"/>
  <c r="M27" i="35"/>
  <c r="M20" i="35"/>
  <c r="M28" i="35"/>
  <c r="M29" i="35"/>
  <c r="C31" i="35"/>
  <c r="D12" i="19"/>
  <c r="C26" i="34"/>
  <c r="C27" i="34"/>
  <c r="D12" i="36"/>
  <c r="D11" i="20"/>
  <c r="C12" i="20"/>
  <c r="D12" i="20"/>
  <c r="C10" i="22"/>
  <c r="D10" i="22"/>
  <c r="C17" i="18"/>
  <c r="D17" i="18"/>
  <c r="C20" i="18"/>
  <c r="D20" i="18"/>
  <c r="C21" i="18"/>
  <c r="D21" i="18"/>
  <c r="E12" i="19"/>
  <c r="E12" i="36"/>
  <c r="E11" i="20"/>
  <c r="E12" i="20"/>
  <c r="E10" i="22"/>
  <c r="E17" i="18"/>
  <c r="E20" i="18"/>
  <c r="E21" i="18"/>
  <c r="F12" i="19"/>
  <c r="F11" i="20"/>
  <c r="F12" i="20"/>
  <c r="F10" i="22"/>
  <c r="F17" i="18"/>
  <c r="F20" i="18"/>
  <c r="F21" i="18"/>
  <c r="F12" i="36"/>
  <c r="G12" i="19"/>
  <c r="G12" i="36"/>
  <c r="G11" i="20"/>
  <c r="G12" i="20"/>
  <c r="G10" i="22"/>
  <c r="G17" i="18"/>
  <c r="G20" i="18"/>
  <c r="G21" i="18"/>
  <c r="H12" i="19"/>
  <c r="H12" i="36"/>
  <c r="H11" i="20"/>
  <c r="H12" i="20"/>
  <c r="H10" i="22"/>
  <c r="H17" i="18"/>
  <c r="H20" i="18"/>
  <c r="H21" i="18"/>
  <c r="I12" i="19"/>
  <c r="I11" i="20"/>
  <c r="I12" i="20"/>
  <c r="I10" i="22"/>
  <c r="I17" i="18"/>
  <c r="I20" i="18"/>
  <c r="I21" i="18"/>
  <c r="I12" i="36"/>
  <c r="J12" i="19"/>
  <c r="J12" i="36"/>
  <c r="J11" i="20"/>
  <c r="J12" i="20"/>
  <c r="J10" i="22"/>
  <c r="J17" i="18"/>
  <c r="J20" i="18"/>
  <c r="J21" i="18"/>
  <c r="K12" i="19"/>
  <c r="K12" i="36"/>
  <c r="K11" i="20"/>
  <c r="K12" i="20"/>
  <c r="K10" i="22"/>
  <c r="K17" i="18"/>
  <c r="K20" i="18"/>
  <c r="K21" i="18"/>
  <c r="L12" i="19"/>
  <c r="L11" i="20"/>
  <c r="L12" i="20"/>
  <c r="L10" i="22"/>
  <c r="L17" i="18"/>
  <c r="L20" i="18"/>
  <c r="L21" i="18"/>
  <c r="L12" i="36"/>
  <c r="M12" i="19"/>
  <c r="M11" i="20"/>
  <c r="M12" i="20"/>
  <c r="M10" i="22"/>
  <c r="M17" i="18"/>
  <c r="M20" i="18"/>
  <c r="M21" i="18"/>
  <c r="M12" i="36"/>
  <c r="M26" i="30"/>
  <c r="C15" i="19"/>
  <c r="C16" i="19"/>
  <c r="C17" i="19"/>
  <c r="C12" i="36"/>
  <c r="C15" i="36"/>
  <c r="C16" i="36"/>
  <c r="C17" i="36"/>
  <c r="C11" i="20"/>
  <c r="C15" i="20"/>
  <c r="C16" i="20"/>
  <c r="C17" i="20"/>
  <c r="B35" i="30"/>
  <c r="C20" i="26"/>
  <c r="C20" i="20"/>
  <c r="C20" i="19"/>
  <c r="C20" i="36"/>
  <c r="C17" i="22"/>
  <c r="C31" i="30"/>
  <c r="C22" i="30"/>
  <c r="C35" i="30"/>
  <c r="D20" i="26"/>
  <c r="D20" i="20"/>
  <c r="D20" i="19"/>
  <c r="D20" i="36"/>
  <c r="D17" i="22"/>
  <c r="D11" i="30"/>
  <c r="D31" i="30"/>
  <c r="D35" i="30"/>
  <c r="E20" i="26"/>
  <c r="E20" i="20"/>
  <c r="E20" i="19"/>
  <c r="E20" i="36"/>
  <c r="E17" i="22"/>
  <c r="E11" i="30"/>
  <c r="E31" i="30"/>
  <c r="E35" i="30"/>
  <c r="F20" i="26"/>
  <c r="F20" i="20"/>
  <c r="F20" i="19"/>
  <c r="F20" i="36"/>
  <c r="F17" i="22"/>
  <c r="F11" i="30"/>
  <c r="F31" i="30"/>
  <c r="F22" i="30"/>
  <c r="F35" i="30"/>
  <c r="G20" i="26"/>
  <c r="G20" i="20"/>
  <c r="G20" i="19"/>
  <c r="G20" i="36"/>
  <c r="G17" i="22"/>
  <c r="G11" i="30"/>
  <c r="G31" i="30"/>
  <c r="G22" i="30"/>
  <c r="G35" i="30"/>
  <c r="H20" i="26"/>
  <c r="H20" i="20"/>
  <c r="H20" i="19"/>
  <c r="H20" i="36"/>
  <c r="H17" i="22"/>
  <c r="H11" i="30"/>
  <c r="H31" i="30"/>
  <c r="H22" i="30"/>
  <c r="H35" i="30"/>
  <c r="I20" i="26"/>
  <c r="I20" i="20"/>
  <c r="I20" i="19"/>
  <c r="I20" i="36"/>
  <c r="I17" i="22"/>
  <c r="I11" i="30"/>
  <c r="I31" i="30"/>
  <c r="I35" i="30"/>
  <c r="J20" i="26"/>
  <c r="J20" i="20"/>
  <c r="J20" i="19"/>
  <c r="J20" i="36"/>
  <c r="J17" i="22"/>
  <c r="J11" i="30"/>
  <c r="J31" i="30"/>
  <c r="J35" i="30"/>
  <c r="K20" i="26"/>
  <c r="K20" i="20"/>
  <c r="K20" i="19"/>
  <c r="K20" i="36"/>
  <c r="K17" i="22"/>
  <c r="K11" i="30"/>
  <c r="K31" i="30"/>
  <c r="K35" i="30"/>
  <c r="L20" i="26"/>
  <c r="L20" i="20"/>
  <c r="L20" i="19"/>
  <c r="L20" i="36"/>
  <c r="L17" i="22"/>
  <c r="L11" i="30"/>
  <c r="L31" i="30"/>
  <c r="B26" i="34"/>
  <c r="B27" i="34"/>
  <c r="B44" i="34"/>
  <c r="B46" i="34"/>
  <c r="B47" i="34"/>
  <c r="C44" i="34"/>
  <c r="C46" i="34"/>
  <c r="C47" i="34"/>
  <c r="G44" i="34"/>
  <c r="G46" i="34"/>
  <c r="G47" i="34"/>
  <c r="P44" i="34"/>
  <c r="P46" i="34"/>
  <c r="P47" i="34"/>
  <c r="Q51" i="34"/>
  <c r="X48" i="34"/>
  <c r="X50" i="34"/>
  <c r="X49" i="34"/>
  <c r="B48" i="34"/>
  <c r="C48" i="34"/>
  <c r="G48" i="34"/>
  <c r="P48" i="34"/>
  <c r="B45" i="34"/>
  <c r="C45" i="34"/>
  <c r="G45" i="34"/>
  <c r="P45" i="34"/>
  <c r="X47" i="34"/>
  <c r="Q44" i="34"/>
  <c r="O23" i="34"/>
  <c r="N23" i="34"/>
  <c r="M23" i="34"/>
  <c r="L23" i="34"/>
  <c r="K23" i="34"/>
  <c r="J23" i="34"/>
  <c r="I23" i="34"/>
  <c r="H23" i="34"/>
  <c r="G29" i="34"/>
  <c r="F23" i="34"/>
  <c r="E23" i="34"/>
  <c r="D23" i="34"/>
  <c r="C23" i="34"/>
  <c r="B23" i="34"/>
  <c r="O21" i="34"/>
  <c r="N21" i="34"/>
  <c r="M21" i="34"/>
  <c r="L21" i="34"/>
  <c r="K21" i="34"/>
  <c r="J21" i="34"/>
  <c r="I21" i="34"/>
  <c r="H21" i="34"/>
  <c r="G21" i="34"/>
  <c r="F21" i="34"/>
  <c r="E21" i="34"/>
  <c r="D21" i="34"/>
  <c r="C21" i="34"/>
  <c r="B21" i="34"/>
  <c r="O19" i="34"/>
  <c r="N19" i="34"/>
  <c r="M19" i="34"/>
  <c r="L19" i="34"/>
  <c r="K19" i="34"/>
  <c r="J19" i="34"/>
  <c r="I19" i="34"/>
  <c r="H19" i="34"/>
  <c r="G19" i="34"/>
  <c r="F19" i="34"/>
  <c r="E19" i="34"/>
  <c r="D19" i="34"/>
  <c r="C19" i="34"/>
  <c r="B19" i="34"/>
  <c r="O36" i="34"/>
  <c r="O17" i="34"/>
  <c r="N36" i="34"/>
  <c r="N17" i="34"/>
  <c r="M36" i="34"/>
  <c r="M17" i="34"/>
  <c r="L36" i="34"/>
  <c r="L17" i="34"/>
  <c r="K36" i="34"/>
  <c r="K17" i="34"/>
  <c r="J36" i="34"/>
  <c r="J17" i="34"/>
  <c r="I36" i="34"/>
  <c r="I17" i="34"/>
  <c r="H36" i="34"/>
  <c r="H17" i="34"/>
  <c r="G36" i="34"/>
  <c r="G17" i="34"/>
  <c r="F36" i="34"/>
  <c r="F17" i="34"/>
  <c r="E36" i="34"/>
  <c r="E17" i="34"/>
  <c r="D36" i="34"/>
  <c r="D17" i="34"/>
  <c r="C36" i="34"/>
  <c r="C17" i="34"/>
  <c r="B36" i="34"/>
  <c r="B15" i="34"/>
  <c r="B17" i="34"/>
  <c r="O16" i="34"/>
  <c r="N16" i="34"/>
  <c r="M16" i="34"/>
  <c r="L16" i="34"/>
  <c r="K16" i="34"/>
  <c r="J16" i="34"/>
  <c r="I16" i="34"/>
  <c r="H16" i="34"/>
  <c r="G16" i="34"/>
  <c r="F16" i="34"/>
  <c r="E16" i="34"/>
  <c r="D16" i="34"/>
  <c r="C16" i="34"/>
  <c r="B16" i="34"/>
  <c r="P13" i="34"/>
  <c r="C13" i="34"/>
  <c r="O9" i="34"/>
  <c r="N9" i="34"/>
  <c r="M9" i="34"/>
  <c r="L9" i="34"/>
  <c r="K9" i="34"/>
  <c r="J9" i="34"/>
  <c r="I9" i="34"/>
  <c r="H9" i="34"/>
  <c r="G9" i="34"/>
  <c r="F9" i="34"/>
  <c r="E9" i="34"/>
  <c r="D9" i="34"/>
  <c r="C9" i="34"/>
  <c r="B5" i="34"/>
  <c r="B9" i="34"/>
  <c r="C41" i="34"/>
  <c r="D41" i="34"/>
  <c r="E41" i="34"/>
  <c r="F41" i="34"/>
  <c r="O41" i="34"/>
  <c r="I41" i="34"/>
  <c r="J41" i="34"/>
  <c r="N41" i="34"/>
  <c r="G41" i="34"/>
  <c r="K41" i="34"/>
  <c r="L41" i="34"/>
  <c r="M41" i="34"/>
  <c r="M56" i="28"/>
  <c r="C79" i="28"/>
  <c r="M17" i="22"/>
  <c r="M20" i="20"/>
  <c r="M20" i="36"/>
  <c r="M20" i="26"/>
  <c r="M53" i="28"/>
  <c r="C74" i="28"/>
  <c r="M20" i="19"/>
  <c r="L11" i="19"/>
  <c r="M52" i="28"/>
  <c r="C73" i="28"/>
  <c r="M51" i="28"/>
  <c r="C72" i="28"/>
  <c r="E66" i="28"/>
  <c r="F66" i="28"/>
  <c r="G66" i="28"/>
  <c r="H66" i="28"/>
  <c r="I66" i="28"/>
  <c r="J66" i="28"/>
  <c r="K66" i="28"/>
  <c r="L66" i="28"/>
  <c r="M66" i="28"/>
  <c r="D66" i="28"/>
  <c r="H45" i="28"/>
  <c r="E61" i="28"/>
  <c r="F61" i="28"/>
  <c r="G61" i="28"/>
  <c r="H61" i="28"/>
  <c r="I61" i="28"/>
  <c r="J61" i="28"/>
  <c r="K61" i="28"/>
  <c r="L61" i="28"/>
  <c r="M61" i="28"/>
  <c r="D61" i="28"/>
  <c r="E60" i="28"/>
  <c r="F60" i="28"/>
  <c r="G60" i="28"/>
  <c r="H60" i="28"/>
  <c r="I60" i="28"/>
  <c r="J60" i="28"/>
  <c r="K60" i="28"/>
  <c r="L60" i="28"/>
  <c r="M60" i="28"/>
  <c r="D60" i="28"/>
  <c r="E59" i="28"/>
  <c r="F59" i="28"/>
  <c r="G59" i="28"/>
  <c r="H59" i="28"/>
  <c r="I59" i="28"/>
  <c r="J59" i="28"/>
  <c r="K59" i="28"/>
  <c r="L59" i="28"/>
  <c r="M59" i="28"/>
  <c r="D59" i="28"/>
  <c r="E56" i="28"/>
  <c r="F56" i="28"/>
  <c r="G56" i="28"/>
  <c r="H56" i="28"/>
  <c r="I56" i="28"/>
  <c r="J56" i="28"/>
  <c r="K56" i="28"/>
  <c r="L56" i="28"/>
  <c r="D56" i="28"/>
  <c r="D11" i="36"/>
  <c r="E54" i="28"/>
  <c r="E11" i="36"/>
  <c r="F54" i="28"/>
  <c r="F11" i="36"/>
  <c r="G54" i="28"/>
  <c r="G11" i="36"/>
  <c r="H54" i="28"/>
  <c r="H11" i="36"/>
  <c r="I54" i="28"/>
  <c r="I11" i="36"/>
  <c r="J54" i="28"/>
  <c r="J11" i="36"/>
  <c r="K54" i="28"/>
  <c r="K11" i="36"/>
  <c r="L54" i="28"/>
  <c r="C11" i="36"/>
  <c r="D54" i="28"/>
  <c r="E53" i="28"/>
  <c r="F53" i="28"/>
  <c r="G53" i="28"/>
  <c r="H53" i="28"/>
  <c r="I53" i="28"/>
  <c r="J53" i="28"/>
  <c r="K53" i="28"/>
  <c r="L53" i="28"/>
  <c r="D53" i="28"/>
  <c r="E51" i="28"/>
  <c r="F51" i="28"/>
  <c r="G51" i="28"/>
  <c r="H51" i="28"/>
  <c r="I51" i="28"/>
  <c r="J51" i="28"/>
  <c r="K51" i="28"/>
  <c r="L51" i="28"/>
  <c r="D51" i="28"/>
  <c r="D11" i="19"/>
  <c r="E52" i="28"/>
  <c r="E11" i="19"/>
  <c r="F52" i="28"/>
  <c r="F11" i="19"/>
  <c r="G52" i="28"/>
  <c r="G11" i="19"/>
  <c r="H52" i="28"/>
  <c r="H11" i="19"/>
  <c r="I52" i="28"/>
  <c r="I11" i="19"/>
  <c r="J52" i="28"/>
  <c r="J11" i="19"/>
  <c r="K52" i="28"/>
  <c r="K11" i="19"/>
  <c r="L52" i="28"/>
  <c r="C11" i="19"/>
  <c r="D52" i="28"/>
  <c r="M36" i="28"/>
  <c r="D18" i="33"/>
  <c r="E18" i="33"/>
  <c r="F18" i="33"/>
  <c r="G18" i="33"/>
  <c r="H18" i="33"/>
  <c r="I18" i="33"/>
  <c r="J18" i="33"/>
  <c r="K18" i="33"/>
  <c r="L18" i="33"/>
  <c r="M18" i="33"/>
  <c r="C18" i="33"/>
  <c r="D7" i="33"/>
  <c r="E7" i="33"/>
  <c r="C7" i="33"/>
  <c r="C22" i="18"/>
  <c r="C38" i="18"/>
  <c r="C41" i="18"/>
  <c r="C42" i="18"/>
  <c r="D22" i="18"/>
  <c r="D38" i="18"/>
  <c r="D41" i="18"/>
  <c r="D42" i="18"/>
  <c r="E22" i="18"/>
  <c r="E38" i="18"/>
  <c r="E41" i="18"/>
  <c r="E42" i="18"/>
  <c r="F22" i="18"/>
  <c r="F38" i="18"/>
  <c r="F41" i="18"/>
  <c r="F42" i="18"/>
  <c r="G22" i="18"/>
  <c r="G38" i="18"/>
  <c r="G41" i="18"/>
  <c r="G42" i="18"/>
  <c r="H22" i="18"/>
  <c r="H38" i="18"/>
  <c r="H41" i="18"/>
  <c r="H42" i="18"/>
  <c r="I22" i="18"/>
  <c r="I38" i="18"/>
  <c r="I41" i="18"/>
  <c r="I42" i="18"/>
  <c r="J22" i="18"/>
  <c r="J38" i="18"/>
  <c r="J41" i="18"/>
  <c r="J42" i="18"/>
  <c r="K22" i="18"/>
  <c r="K38" i="18"/>
  <c r="K41" i="18"/>
  <c r="K42" i="18"/>
  <c r="L22" i="18"/>
  <c r="L38" i="18"/>
  <c r="L41" i="18"/>
  <c r="L42" i="18"/>
  <c r="M22" i="18"/>
  <c r="M40" i="18"/>
  <c r="M41" i="18"/>
  <c r="M42" i="18"/>
  <c r="C44" i="18"/>
  <c r="C43" i="18"/>
  <c r="N34" i="18"/>
  <c r="D33" i="18"/>
  <c r="E33" i="18"/>
  <c r="F33" i="18"/>
  <c r="G33" i="18"/>
  <c r="H33" i="18"/>
  <c r="I33" i="18"/>
  <c r="J33" i="18"/>
  <c r="K33" i="18"/>
  <c r="L33" i="18"/>
  <c r="M33" i="18"/>
  <c r="C33" i="18"/>
  <c r="D19" i="18"/>
  <c r="E19" i="18"/>
  <c r="F19" i="18"/>
  <c r="G19" i="18"/>
  <c r="H19" i="18"/>
  <c r="I19" i="18"/>
  <c r="J19" i="18"/>
  <c r="K19" i="18"/>
  <c r="L19" i="18"/>
  <c r="M19" i="18"/>
  <c r="B19" i="18"/>
  <c r="C16" i="18"/>
  <c r="C19" i="18"/>
  <c r="D16" i="18"/>
  <c r="E16" i="18"/>
  <c r="F16" i="18"/>
  <c r="G16" i="18"/>
  <c r="H16" i="18"/>
  <c r="I16" i="18"/>
  <c r="J16" i="18"/>
  <c r="K16" i="18"/>
  <c r="L16" i="18"/>
  <c r="M16" i="18"/>
  <c r="C12" i="18"/>
  <c r="D12" i="18"/>
  <c r="E12" i="18"/>
  <c r="F12" i="18"/>
  <c r="G12" i="18"/>
  <c r="H12" i="18"/>
  <c r="I12" i="18"/>
  <c r="J12" i="18"/>
  <c r="K12" i="18"/>
  <c r="L12" i="18"/>
  <c r="M12" i="18"/>
  <c r="D11" i="18"/>
  <c r="E11" i="18"/>
  <c r="F11" i="18"/>
  <c r="G11" i="18"/>
  <c r="H11" i="18"/>
  <c r="I11" i="18"/>
  <c r="J11" i="18"/>
  <c r="K11" i="18"/>
  <c r="L11" i="18"/>
  <c r="M11" i="18"/>
  <c r="C11" i="18"/>
  <c r="C9" i="33"/>
  <c r="C10" i="33"/>
  <c r="C12" i="33"/>
  <c r="C13" i="33"/>
  <c r="C14" i="33"/>
  <c r="C22" i="33"/>
  <c r="C23" i="33"/>
  <c r="C24" i="33"/>
  <c r="C17" i="33"/>
  <c r="C20" i="33"/>
  <c r="C25" i="33"/>
  <c r="C26" i="33"/>
  <c r="D9" i="33"/>
  <c r="D10" i="33"/>
  <c r="D12" i="33"/>
  <c r="D13" i="33"/>
  <c r="D14" i="33"/>
  <c r="D22" i="33"/>
  <c r="D24" i="33"/>
  <c r="D17" i="33"/>
  <c r="D20" i="33"/>
  <c r="D25" i="33"/>
  <c r="D26" i="33"/>
  <c r="E9" i="33"/>
  <c r="E10" i="33"/>
  <c r="E12" i="33"/>
  <c r="E13" i="33"/>
  <c r="E14" i="33"/>
  <c r="E22" i="33"/>
  <c r="E24" i="33"/>
  <c r="E17" i="33"/>
  <c r="E20" i="33"/>
  <c r="E25" i="33"/>
  <c r="E26" i="33"/>
  <c r="F9" i="33"/>
  <c r="F10" i="33"/>
  <c r="F14" i="33"/>
  <c r="F22" i="33"/>
  <c r="F23" i="33"/>
  <c r="F24" i="33"/>
  <c r="F17" i="33"/>
  <c r="F20" i="33"/>
  <c r="F25" i="33"/>
  <c r="F26" i="33"/>
  <c r="G9" i="33"/>
  <c r="G10" i="33"/>
  <c r="G14" i="33"/>
  <c r="G22" i="33"/>
  <c r="G24" i="33"/>
  <c r="G17" i="33"/>
  <c r="G20" i="33"/>
  <c r="G25" i="33"/>
  <c r="G26" i="33"/>
  <c r="H9" i="33"/>
  <c r="H10" i="33"/>
  <c r="H14" i="33"/>
  <c r="H22" i="33"/>
  <c r="H24" i="33"/>
  <c r="H17" i="33"/>
  <c r="H20" i="33"/>
  <c r="H25" i="33"/>
  <c r="H26" i="33"/>
  <c r="I9" i="33"/>
  <c r="I10" i="33"/>
  <c r="I14" i="33"/>
  <c r="I22" i="33"/>
  <c r="I23" i="33"/>
  <c r="I24" i="33"/>
  <c r="I17" i="33"/>
  <c r="I20" i="33"/>
  <c r="I25" i="33"/>
  <c r="I26" i="33"/>
  <c r="J9" i="33"/>
  <c r="J10" i="33"/>
  <c r="J14" i="33"/>
  <c r="J22" i="33"/>
  <c r="J24" i="33"/>
  <c r="J17" i="33"/>
  <c r="J20" i="33"/>
  <c r="J25" i="33"/>
  <c r="J26" i="33"/>
  <c r="K9" i="33"/>
  <c r="K10" i="33"/>
  <c r="K14" i="33"/>
  <c r="K22" i="33"/>
  <c r="K24" i="33"/>
  <c r="K17" i="33"/>
  <c r="K20" i="33"/>
  <c r="K25" i="33"/>
  <c r="K26" i="33"/>
  <c r="L9" i="33"/>
  <c r="L10" i="33"/>
  <c r="L14" i="33"/>
  <c r="L22" i="33"/>
  <c r="L23" i="33"/>
  <c r="L24" i="33"/>
  <c r="L17" i="33"/>
  <c r="L20" i="33"/>
  <c r="L25" i="33"/>
  <c r="L26" i="33"/>
  <c r="M9" i="33"/>
  <c r="M10" i="33"/>
  <c r="M14" i="33"/>
  <c r="M22" i="33"/>
  <c r="M24" i="33"/>
  <c r="M17" i="33"/>
  <c r="M20" i="33"/>
  <c r="M25" i="33"/>
  <c r="M26" i="33"/>
  <c r="C28" i="33"/>
  <c r="C27" i="33"/>
  <c r="N18" i="33"/>
  <c r="M16" i="33"/>
  <c r="L16" i="33"/>
  <c r="K16" i="33"/>
  <c r="J16" i="33"/>
  <c r="I16" i="33"/>
  <c r="H16" i="33"/>
  <c r="G16" i="33"/>
  <c r="F16" i="33"/>
  <c r="E16" i="33"/>
  <c r="D16" i="33"/>
  <c r="C16" i="33"/>
  <c r="C6" i="33"/>
  <c r="D6" i="33"/>
  <c r="E6" i="33"/>
  <c r="F6" i="33"/>
  <c r="G6" i="33"/>
  <c r="H6" i="33"/>
  <c r="I6" i="33"/>
  <c r="J6" i="33"/>
  <c r="K6" i="33"/>
  <c r="L6" i="33"/>
  <c r="M6" i="33"/>
  <c r="D18" i="32"/>
  <c r="E18" i="32"/>
  <c r="F18" i="32"/>
  <c r="G18" i="32"/>
  <c r="H18" i="32"/>
  <c r="I18" i="32"/>
  <c r="J18" i="32"/>
  <c r="K18" i="32"/>
  <c r="L18" i="32"/>
  <c r="M18" i="32"/>
  <c r="C18" i="32"/>
  <c r="D12" i="32"/>
  <c r="C12" i="32"/>
  <c r="C7" i="32"/>
  <c r="C9" i="32"/>
  <c r="C13" i="32"/>
  <c r="C14" i="32"/>
  <c r="C22" i="32"/>
  <c r="C23" i="32"/>
  <c r="C24" i="32"/>
  <c r="C17" i="32"/>
  <c r="C20" i="32"/>
  <c r="C25" i="32"/>
  <c r="C26" i="32"/>
  <c r="D9" i="32"/>
  <c r="D13" i="32"/>
  <c r="D14" i="32"/>
  <c r="D22" i="32"/>
  <c r="D24" i="32"/>
  <c r="D17" i="32"/>
  <c r="D20" i="32"/>
  <c r="D25" i="32"/>
  <c r="D26" i="32"/>
  <c r="E9" i="32"/>
  <c r="E14" i="32"/>
  <c r="E22" i="32"/>
  <c r="E24" i="32"/>
  <c r="E17" i="32"/>
  <c r="E20" i="32"/>
  <c r="E25" i="32"/>
  <c r="E26" i="32"/>
  <c r="F9" i="32"/>
  <c r="F14" i="32"/>
  <c r="F22" i="32"/>
  <c r="F23" i="32"/>
  <c r="F24" i="32"/>
  <c r="F17" i="32"/>
  <c r="F20" i="32"/>
  <c r="F25" i="32"/>
  <c r="F26" i="32"/>
  <c r="G9" i="32"/>
  <c r="G14" i="32"/>
  <c r="G22" i="32"/>
  <c r="G24" i="32"/>
  <c r="G17" i="32"/>
  <c r="G20" i="32"/>
  <c r="G25" i="32"/>
  <c r="G26" i="32"/>
  <c r="H9" i="32"/>
  <c r="H14" i="32"/>
  <c r="H22" i="32"/>
  <c r="H24" i="32"/>
  <c r="H17" i="32"/>
  <c r="H20" i="32"/>
  <c r="H25" i="32"/>
  <c r="H26" i="32"/>
  <c r="I9" i="32"/>
  <c r="I14" i="32"/>
  <c r="I22" i="32"/>
  <c r="I23" i="32"/>
  <c r="I24" i="32"/>
  <c r="I17" i="32"/>
  <c r="I20" i="32"/>
  <c r="I25" i="32"/>
  <c r="I26" i="32"/>
  <c r="J9" i="32"/>
  <c r="J14" i="32"/>
  <c r="J22" i="32"/>
  <c r="J24" i="32"/>
  <c r="J17" i="32"/>
  <c r="J20" i="32"/>
  <c r="J25" i="32"/>
  <c r="J26" i="32"/>
  <c r="K9" i="32"/>
  <c r="K14" i="32"/>
  <c r="K22" i="32"/>
  <c r="K24" i="32"/>
  <c r="K17" i="32"/>
  <c r="K20" i="32"/>
  <c r="K25" i="32"/>
  <c r="K26" i="32"/>
  <c r="L9" i="32"/>
  <c r="L14" i="32"/>
  <c r="L22" i="32"/>
  <c r="L23" i="32"/>
  <c r="L24" i="32"/>
  <c r="L17" i="32"/>
  <c r="L20" i="32"/>
  <c r="L25" i="32"/>
  <c r="L26" i="32"/>
  <c r="M9" i="32"/>
  <c r="M14" i="32"/>
  <c r="M22" i="32"/>
  <c r="M24" i="32"/>
  <c r="M17" i="32"/>
  <c r="M20" i="32"/>
  <c r="M25" i="32"/>
  <c r="M26" i="32"/>
  <c r="C28" i="32"/>
  <c r="C27" i="32"/>
  <c r="N18" i="32"/>
  <c r="M16" i="32"/>
  <c r="L16" i="32"/>
  <c r="K16" i="32"/>
  <c r="J16" i="32"/>
  <c r="I16" i="32"/>
  <c r="H16" i="32"/>
  <c r="G16" i="32"/>
  <c r="F16" i="32"/>
  <c r="E16" i="32"/>
  <c r="D16" i="32"/>
  <c r="C16" i="32"/>
  <c r="C10" i="32"/>
  <c r="D10" i="32"/>
  <c r="E10" i="32"/>
  <c r="F10" i="32"/>
  <c r="G10" i="32"/>
  <c r="H10" i="32"/>
  <c r="I10" i="32"/>
  <c r="J10" i="32"/>
  <c r="K10" i="32"/>
  <c r="L10" i="32"/>
  <c r="M10" i="32"/>
  <c r="C6" i="32"/>
  <c r="D6" i="32"/>
  <c r="E6" i="32"/>
  <c r="F6" i="32"/>
  <c r="G6" i="32"/>
  <c r="H6" i="32"/>
  <c r="I6" i="32"/>
  <c r="J6" i="32"/>
  <c r="K6" i="32"/>
  <c r="L6" i="32"/>
  <c r="M6" i="32"/>
  <c r="C28" i="20"/>
  <c r="C25" i="20"/>
  <c r="C26" i="20"/>
  <c r="C27" i="20"/>
  <c r="C29" i="20"/>
  <c r="D25" i="20"/>
  <c r="D28" i="20"/>
  <c r="D27" i="20"/>
  <c r="D29" i="20"/>
  <c r="E25" i="20"/>
  <c r="E28" i="20"/>
  <c r="E27" i="20"/>
  <c r="E29" i="20"/>
  <c r="F25" i="20"/>
  <c r="F28" i="20"/>
  <c r="F27" i="20"/>
  <c r="F29" i="20"/>
  <c r="G25" i="20"/>
  <c r="G28" i="20"/>
  <c r="G27" i="20"/>
  <c r="G29" i="20"/>
  <c r="H25" i="20"/>
  <c r="H28" i="20"/>
  <c r="H27" i="20"/>
  <c r="H29" i="20"/>
  <c r="I25" i="20"/>
  <c r="I28" i="20"/>
  <c r="I27" i="20"/>
  <c r="I29" i="20"/>
  <c r="J25" i="20"/>
  <c r="J28" i="20"/>
  <c r="J27" i="20"/>
  <c r="J29" i="20"/>
  <c r="K25" i="20"/>
  <c r="K28" i="20"/>
  <c r="K27" i="20"/>
  <c r="K29" i="20"/>
  <c r="L25" i="20"/>
  <c r="L28" i="20"/>
  <c r="L27" i="20"/>
  <c r="L29" i="20"/>
  <c r="M27" i="20"/>
  <c r="M28" i="20"/>
  <c r="M29" i="20"/>
  <c r="C30" i="20"/>
  <c r="D23" i="22"/>
  <c r="D25" i="22"/>
  <c r="D26" i="22"/>
  <c r="E23" i="22"/>
  <c r="E25" i="22"/>
  <c r="E26" i="22"/>
  <c r="F23" i="22"/>
  <c r="F25" i="22"/>
  <c r="F26" i="22"/>
  <c r="G23" i="22"/>
  <c r="G25" i="22"/>
  <c r="G26" i="22"/>
  <c r="H23" i="22"/>
  <c r="H25" i="22"/>
  <c r="H26" i="22"/>
  <c r="I23" i="22"/>
  <c r="I25" i="22"/>
  <c r="I26" i="22"/>
  <c r="J23" i="22"/>
  <c r="J25" i="22"/>
  <c r="J26" i="22"/>
  <c r="K23" i="22"/>
  <c r="K25" i="22"/>
  <c r="K26" i="22"/>
  <c r="L23" i="22"/>
  <c r="L25" i="22"/>
  <c r="L26" i="22"/>
  <c r="M25" i="22"/>
  <c r="M26" i="22"/>
  <c r="C27" i="22"/>
  <c r="N19" i="22"/>
  <c r="D18" i="22"/>
  <c r="E18" i="22"/>
  <c r="F18" i="22"/>
  <c r="G18" i="22"/>
  <c r="H18" i="22"/>
  <c r="I18" i="22"/>
  <c r="J18" i="22"/>
  <c r="K18" i="22"/>
  <c r="L18" i="22"/>
  <c r="M18" i="22"/>
  <c r="C18" i="22"/>
  <c r="C6" i="18"/>
  <c r="D6" i="18"/>
  <c r="E6" i="18"/>
  <c r="F6" i="18"/>
  <c r="G6" i="18"/>
  <c r="H6" i="18"/>
  <c r="I6" i="18"/>
  <c r="J6" i="18"/>
  <c r="K6" i="18"/>
  <c r="L6" i="18"/>
  <c r="M6" i="18"/>
  <c r="C6" i="23"/>
  <c r="D6" i="23"/>
  <c r="E6" i="23"/>
  <c r="F6" i="23"/>
  <c r="G6" i="23"/>
  <c r="H6" i="23"/>
  <c r="I6" i="23"/>
  <c r="J6" i="23"/>
  <c r="K6" i="23"/>
  <c r="L6" i="23"/>
  <c r="M6" i="23"/>
  <c r="C6" i="22"/>
  <c r="D6" i="22"/>
  <c r="E6" i="22"/>
  <c r="F6" i="22"/>
  <c r="G6" i="22"/>
  <c r="H6" i="22"/>
  <c r="I6" i="22"/>
  <c r="J6" i="22"/>
  <c r="K6" i="22"/>
  <c r="L6" i="22"/>
  <c r="M6" i="22"/>
  <c r="C6" i="20"/>
  <c r="D6" i="20"/>
  <c r="E6" i="20"/>
  <c r="F6" i="20"/>
  <c r="G6" i="20"/>
  <c r="H6" i="20"/>
  <c r="I6" i="20"/>
  <c r="J6" i="20"/>
  <c r="K6" i="20"/>
  <c r="L6" i="20"/>
  <c r="M6" i="20"/>
  <c r="N21" i="20"/>
  <c r="D19" i="20"/>
  <c r="E19" i="20"/>
  <c r="F19" i="20"/>
  <c r="G19" i="20"/>
  <c r="H19" i="20"/>
  <c r="I19" i="20"/>
  <c r="J19" i="20"/>
  <c r="K19" i="20"/>
  <c r="L19" i="20"/>
  <c r="M19" i="20"/>
  <c r="C19" i="20"/>
  <c r="C8" i="20"/>
  <c r="C7" i="36"/>
  <c r="J10" i="36"/>
  <c r="K10" i="36"/>
  <c r="L10" i="36"/>
  <c r="M10" i="36"/>
  <c r="G10" i="36"/>
  <c r="H10" i="36"/>
  <c r="I10" i="36"/>
  <c r="D10" i="36"/>
  <c r="E10" i="36"/>
  <c r="F10" i="36"/>
  <c r="C25" i="36"/>
  <c r="C26" i="36"/>
  <c r="C27" i="36"/>
  <c r="C28" i="36"/>
  <c r="C29" i="36"/>
  <c r="D25" i="36"/>
  <c r="D27" i="36"/>
  <c r="D28" i="36"/>
  <c r="D29" i="36"/>
  <c r="E25" i="36"/>
  <c r="E27" i="36"/>
  <c r="E28" i="36"/>
  <c r="E29" i="36"/>
  <c r="F25" i="36"/>
  <c r="F26" i="36"/>
  <c r="F27" i="36"/>
  <c r="F28" i="36"/>
  <c r="F29" i="36"/>
  <c r="G25" i="36"/>
  <c r="G27" i="36"/>
  <c r="G28" i="36"/>
  <c r="G29" i="36"/>
  <c r="H25" i="36"/>
  <c r="H27" i="36"/>
  <c r="H28" i="36"/>
  <c r="H29" i="36"/>
  <c r="I25" i="36"/>
  <c r="I26" i="36"/>
  <c r="I27" i="36"/>
  <c r="I28" i="36"/>
  <c r="I29" i="36"/>
  <c r="J25" i="36"/>
  <c r="J27" i="36"/>
  <c r="J28" i="36"/>
  <c r="J29" i="36"/>
  <c r="K25" i="36"/>
  <c r="K27" i="36"/>
  <c r="K28" i="36"/>
  <c r="K29" i="36"/>
  <c r="L25" i="36"/>
  <c r="L26" i="36"/>
  <c r="L27" i="36"/>
  <c r="L28" i="36"/>
  <c r="L29" i="36"/>
  <c r="M25" i="36"/>
  <c r="M27" i="36"/>
  <c r="M28" i="36"/>
  <c r="M29" i="36"/>
  <c r="C31" i="36"/>
  <c r="C30" i="36"/>
  <c r="N21" i="36"/>
  <c r="M19" i="36"/>
  <c r="L19" i="36"/>
  <c r="K19" i="36"/>
  <c r="J19" i="36"/>
  <c r="I19" i="36"/>
  <c r="H19" i="36"/>
  <c r="G19" i="36"/>
  <c r="F19" i="36"/>
  <c r="E19" i="36"/>
  <c r="D19" i="36"/>
  <c r="C19" i="36"/>
  <c r="C13" i="36"/>
  <c r="D13" i="36"/>
  <c r="E13" i="36"/>
  <c r="F13" i="36"/>
  <c r="G13" i="36"/>
  <c r="H13" i="36"/>
  <c r="I13" i="36"/>
  <c r="J13" i="36"/>
  <c r="K13" i="36"/>
  <c r="L13" i="36"/>
  <c r="M13" i="36"/>
  <c r="M11" i="36"/>
  <c r="C10" i="36"/>
  <c r="C6" i="36"/>
  <c r="D6" i="36"/>
  <c r="E6" i="36"/>
  <c r="F6" i="36"/>
  <c r="G6" i="36"/>
  <c r="H6" i="36"/>
  <c r="I6" i="36"/>
  <c r="J6" i="36"/>
  <c r="K6" i="36"/>
  <c r="L6" i="36"/>
  <c r="M6" i="36"/>
  <c r="C28" i="19"/>
  <c r="C25" i="19"/>
  <c r="C26" i="19"/>
  <c r="C27" i="19"/>
  <c r="C29" i="19"/>
  <c r="D25" i="19"/>
  <c r="D28" i="19"/>
  <c r="D27" i="19"/>
  <c r="D29" i="19"/>
  <c r="E25" i="19"/>
  <c r="E28" i="19"/>
  <c r="E27" i="19"/>
  <c r="E29" i="19"/>
  <c r="F25" i="19"/>
  <c r="F26" i="19"/>
  <c r="F27" i="19"/>
  <c r="F28" i="19"/>
  <c r="F29" i="19"/>
  <c r="G25" i="19"/>
  <c r="G28" i="19"/>
  <c r="G27" i="19"/>
  <c r="G29" i="19"/>
  <c r="H25" i="19"/>
  <c r="H28" i="19"/>
  <c r="H27" i="19"/>
  <c r="H29" i="19"/>
  <c r="I25" i="19"/>
  <c r="I26" i="19"/>
  <c r="I27" i="19"/>
  <c r="I28" i="19"/>
  <c r="I29" i="19"/>
  <c r="J25" i="19"/>
  <c r="J28" i="19"/>
  <c r="J27" i="19"/>
  <c r="J29" i="19"/>
  <c r="K25" i="19"/>
  <c r="K28" i="19"/>
  <c r="K27" i="19"/>
  <c r="K29" i="19"/>
  <c r="L25" i="19"/>
  <c r="L26" i="19"/>
  <c r="L27" i="19"/>
  <c r="L28" i="19"/>
  <c r="L29" i="19"/>
  <c r="M25" i="19"/>
  <c r="M27" i="19"/>
  <c r="M28" i="19"/>
  <c r="M29" i="19"/>
  <c r="C30" i="19"/>
  <c r="J10" i="19"/>
  <c r="K10" i="19"/>
  <c r="L10" i="19"/>
  <c r="M10" i="19"/>
  <c r="G10" i="19"/>
  <c r="H10" i="19"/>
  <c r="I10" i="19"/>
  <c r="D10" i="19"/>
  <c r="E10" i="19"/>
  <c r="F10" i="19"/>
  <c r="N21" i="19"/>
  <c r="D19" i="19"/>
  <c r="E19" i="19"/>
  <c r="F19" i="19"/>
  <c r="G19" i="19"/>
  <c r="H19" i="19"/>
  <c r="I19" i="19"/>
  <c r="J19" i="19"/>
  <c r="K19" i="19"/>
  <c r="L19" i="19"/>
  <c r="M19" i="19"/>
  <c r="C19" i="19"/>
  <c r="C13" i="19"/>
  <c r="D13" i="19"/>
  <c r="E13" i="19"/>
  <c r="F13" i="19"/>
  <c r="G13" i="19"/>
  <c r="H13" i="19"/>
  <c r="I13" i="19"/>
  <c r="J13" i="19"/>
  <c r="K13" i="19"/>
  <c r="L13" i="19"/>
  <c r="M13" i="19"/>
  <c r="M11" i="19"/>
  <c r="C10" i="19"/>
  <c r="C7" i="19"/>
  <c r="C6" i="19"/>
  <c r="D6" i="19"/>
  <c r="E6" i="19"/>
  <c r="F6" i="19"/>
  <c r="G6" i="19"/>
  <c r="H6" i="19"/>
  <c r="I6" i="19"/>
  <c r="J6" i="19"/>
  <c r="K6" i="19"/>
  <c r="L6" i="19"/>
  <c r="M6" i="19"/>
  <c r="M10" i="35"/>
  <c r="I10" i="35"/>
  <c r="F10" i="35"/>
  <c r="C30" i="35"/>
  <c r="N21" i="35"/>
  <c r="M19" i="35"/>
  <c r="L19" i="35"/>
  <c r="K19" i="35"/>
  <c r="J19" i="35"/>
  <c r="I19" i="35"/>
  <c r="H19" i="35"/>
  <c r="G19" i="35"/>
  <c r="F19" i="35"/>
  <c r="E19" i="35"/>
  <c r="D19" i="35"/>
  <c r="C19" i="35"/>
  <c r="L10" i="35"/>
  <c r="K10" i="35"/>
  <c r="J10" i="35"/>
  <c r="H10" i="35"/>
  <c r="G10" i="35"/>
  <c r="E10" i="35"/>
  <c r="D10" i="35"/>
  <c r="C10" i="35"/>
  <c r="C6" i="35"/>
  <c r="D6" i="35"/>
  <c r="E6" i="35"/>
  <c r="F6" i="35"/>
  <c r="G6" i="35"/>
  <c r="H6" i="35"/>
  <c r="I6" i="35"/>
  <c r="J6" i="35"/>
  <c r="K6" i="35"/>
  <c r="L6" i="35"/>
  <c r="M6" i="35"/>
  <c r="D28" i="26"/>
  <c r="D25" i="26"/>
  <c r="D27" i="26"/>
  <c r="D29" i="26"/>
  <c r="E28" i="26"/>
  <c r="E25" i="26"/>
  <c r="E27" i="26"/>
  <c r="E29" i="26"/>
  <c r="F25" i="26"/>
  <c r="F28" i="26"/>
  <c r="F27" i="26"/>
  <c r="F29" i="26"/>
  <c r="G25" i="26"/>
  <c r="G28" i="26"/>
  <c r="G27" i="26"/>
  <c r="G29" i="26"/>
  <c r="H25" i="26"/>
  <c r="H28" i="26"/>
  <c r="H27" i="26"/>
  <c r="H29" i="26"/>
  <c r="I25" i="26"/>
  <c r="I28" i="26"/>
  <c r="I27" i="26"/>
  <c r="I29" i="26"/>
  <c r="J25" i="26"/>
  <c r="J28" i="26"/>
  <c r="J27" i="26"/>
  <c r="J29" i="26"/>
  <c r="K25" i="26"/>
  <c r="K28" i="26"/>
  <c r="K27" i="26"/>
  <c r="K29" i="26"/>
  <c r="L25" i="26"/>
  <c r="L28" i="26"/>
  <c r="L27" i="26"/>
  <c r="L29" i="26"/>
  <c r="M27" i="26"/>
  <c r="M28" i="26"/>
  <c r="M29" i="26"/>
  <c r="C28" i="26"/>
  <c r="C25" i="26"/>
  <c r="C26" i="26"/>
  <c r="C27" i="26"/>
  <c r="C29" i="26"/>
  <c r="C30" i="26"/>
  <c r="C31" i="26"/>
  <c r="N21" i="26"/>
  <c r="D19" i="26"/>
  <c r="E19" i="26"/>
  <c r="F19" i="26"/>
  <c r="G19" i="26"/>
  <c r="H19" i="26"/>
  <c r="I19" i="26"/>
  <c r="J19" i="26"/>
  <c r="K19" i="26"/>
  <c r="L19" i="26"/>
  <c r="M19" i="26"/>
  <c r="C19" i="26"/>
  <c r="D10" i="26"/>
  <c r="E10" i="26"/>
  <c r="F10" i="26"/>
  <c r="G10" i="26"/>
  <c r="H10" i="26"/>
  <c r="I10" i="26"/>
  <c r="J10" i="26"/>
  <c r="K10" i="26"/>
  <c r="L10" i="26"/>
  <c r="M10" i="26"/>
  <c r="C10" i="26"/>
  <c r="C6" i="26"/>
  <c r="D6" i="26"/>
  <c r="E6" i="26"/>
  <c r="F6" i="26"/>
  <c r="G6" i="26"/>
  <c r="H6" i="26"/>
  <c r="I6" i="26"/>
  <c r="J6" i="26"/>
  <c r="K6" i="26"/>
  <c r="L6" i="26"/>
  <c r="M6" i="26"/>
  <c r="L33" i="34"/>
  <c r="P50" i="29"/>
  <c r="Q50" i="29"/>
  <c r="P25" i="29"/>
  <c r="Q25" i="29"/>
  <c r="O31" i="34"/>
  <c r="H41" i="34"/>
  <c r="Q33" i="34"/>
  <c r="Q31" i="34"/>
  <c r="Q27" i="34"/>
  <c r="B24" i="34"/>
  <c r="B25" i="34"/>
  <c r="H24" i="34"/>
  <c r="H25" i="34"/>
  <c r="Q25" i="34"/>
  <c r="Q18" i="34"/>
  <c r="B42" i="34"/>
  <c r="C42" i="34"/>
  <c r="D42" i="34"/>
  <c r="E42" i="34"/>
  <c r="F42" i="34"/>
  <c r="G42" i="34"/>
  <c r="H42" i="34"/>
  <c r="I42" i="34"/>
  <c r="J42" i="34"/>
  <c r="K42" i="34"/>
  <c r="L42" i="34"/>
  <c r="M42" i="34"/>
  <c r="N42" i="34"/>
  <c r="O42" i="34"/>
  <c r="Q42" i="34"/>
  <c r="B37" i="34"/>
  <c r="B38" i="34"/>
  <c r="C37" i="34"/>
  <c r="C38" i="34"/>
  <c r="D37" i="34"/>
  <c r="D38" i="34"/>
  <c r="E37" i="34"/>
  <c r="E38" i="34"/>
  <c r="F37" i="34"/>
  <c r="F38" i="34"/>
  <c r="G37" i="34"/>
  <c r="G38" i="34"/>
  <c r="H37" i="34"/>
  <c r="H38" i="34"/>
  <c r="I37" i="34"/>
  <c r="I38" i="34"/>
  <c r="J37" i="34"/>
  <c r="J38" i="34"/>
  <c r="K37" i="34"/>
  <c r="K38" i="34"/>
  <c r="L37" i="34"/>
  <c r="L38" i="34"/>
  <c r="M37" i="34"/>
  <c r="M38" i="34"/>
  <c r="N37" i="34"/>
  <c r="N38" i="34"/>
  <c r="Q38" i="34"/>
  <c r="Q43" i="34"/>
  <c r="R43" i="34"/>
  <c r="O43" i="34"/>
  <c r="N43" i="34"/>
  <c r="M43" i="34"/>
  <c r="L43" i="34"/>
  <c r="K43" i="34"/>
  <c r="J43" i="34"/>
  <c r="I43" i="34"/>
  <c r="H43" i="34"/>
  <c r="G43" i="34"/>
  <c r="F43" i="34"/>
  <c r="E43" i="34"/>
  <c r="D43" i="34"/>
  <c r="C43" i="34"/>
  <c r="B43" i="34"/>
  <c r="Q41" i="34"/>
  <c r="Q40" i="34"/>
  <c r="Q39" i="34"/>
  <c r="O37" i="34"/>
  <c r="Q37" i="34"/>
  <c r="Q36" i="34"/>
  <c r="Q32" i="34"/>
  <c r="Q30" i="34"/>
  <c r="Q26" i="34"/>
  <c r="Q24" i="34"/>
  <c r="Q23" i="34"/>
  <c r="R23" i="34"/>
  <c r="Q22" i="34"/>
  <c r="R22" i="34"/>
  <c r="Q21" i="34"/>
  <c r="Q20" i="34"/>
  <c r="Q19" i="34"/>
  <c r="Q17" i="34"/>
  <c r="Q16" i="34"/>
  <c r="Q15" i="34"/>
  <c r="O7" i="34"/>
  <c r="O10" i="34"/>
  <c r="N7" i="34"/>
  <c r="N10" i="34"/>
  <c r="M7" i="34"/>
  <c r="M10" i="34"/>
  <c r="L7" i="34"/>
  <c r="L10" i="34"/>
  <c r="K7" i="34"/>
  <c r="K10" i="34"/>
  <c r="J7" i="34"/>
  <c r="J10" i="34"/>
  <c r="I7" i="34"/>
  <c r="I10" i="34"/>
  <c r="H7" i="34"/>
  <c r="H10" i="34"/>
  <c r="G7" i="34"/>
  <c r="G10" i="34"/>
  <c r="F7" i="34"/>
  <c r="F10" i="34"/>
  <c r="E7" i="34"/>
  <c r="E10" i="34"/>
  <c r="D7" i="34"/>
  <c r="D10" i="34"/>
  <c r="C7" i="34"/>
  <c r="C10" i="34"/>
  <c r="B7" i="34"/>
  <c r="B10" i="34"/>
  <c r="O50" i="29"/>
  <c r="N50" i="29"/>
  <c r="M29" i="29"/>
  <c r="N29" i="29"/>
  <c r="E68" i="28"/>
  <c r="F68" i="28"/>
  <c r="G68" i="28"/>
  <c r="H68" i="28"/>
  <c r="I68" i="28"/>
  <c r="J68" i="28"/>
  <c r="K68" i="28"/>
  <c r="L68" i="28"/>
  <c r="M68" i="28"/>
  <c r="D68" i="28"/>
  <c r="N25" i="29"/>
  <c r="O25" i="29"/>
  <c r="C42" i="28"/>
  <c r="M31" i="30"/>
  <c r="M34" i="30"/>
  <c r="B23" i="30"/>
  <c r="M15" i="30"/>
  <c r="M8" i="30"/>
  <c r="M9" i="30"/>
  <c r="M11" i="30"/>
  <c r="D5" i="30"/>
  <c r="E5" i="30"/>
  <c r="F5" i="30"/>
  <c r="G5" i="30"/>
  <c r="H5" i="30"/>
  <c r="I5" i="30"/>
  <c r="J5" i="30"/>
  <c r="K5" i="30"/>
  <c r="L5" i="30"/>
  <c r="C4" i="30"/>
  <c r="D4" i="30"/>
  <c r="E4" i="30"/>
  <c r="F4" i="30"/>
  <c r="G4" i="30"/>
  <c r="H4" i="30"/>
  <c r="I4" i="30"/>
  <c r="J4" i="30"/>
  <c r="K4" i="30"/>
  <c r="L4" i="30"/>
  <c r="F4" i="29"/>
  <c r="G4" i="29"/>
  <c r="H4" i="29"/>
  <c r="I4" i="29"/>
  <c r="J4" i="29"/>
  <c r="K4" i="29"/>
  <c r="L4" i="29"/>
  <c r="M4" i="29"/>
  <c r="N4" i="29"/>
  <c r="E49" i="28"/>
  <c r="F49" i="28"/>
  <c r="G49" i="28"/>
  <c r="H49" i="28"/>
  <c r="I49" i="28"/>
  <c r="J49" i="28"/>
  <c r="K49" i="28"/>
  <c r="L49" i="28"/>
  <c r="M49" i="28"/>
  <c r="E4" i="28"/>
  <c r="F4" i="28"/>
  <c r="G4" i="28"/>
  <c r="H4" i="28"/>
  <c r="I4" i="28"/>
  <c r="J4" i="28"/>
  <c r="K4" i="28"/>
  <c r="L4" i="28"/>
  <c r="M4" i="28"/>
  <c r="E4" i="24"/>
  <c r="F4" i="24"/>
  <c r="G4" i="24"/>
  <c r="H4" i="24"/>
  <c r="I4" i="24"/>
  <c r="J4" i="24"/>
  <c r="K4" i="24"/>
  <c r="L4" i="24"/>
  <c r="M4" i="24"/>
  <c r="F4" i="15"/>
  <c r="G4" i="15"/>
  <c r="H4" i="15"/>
  <c r="I4" i="15"/>
  <c r="J4" i="15"/>
  <c r="K4" i="15"/>
  <c r="L4" i="15"/>
  <c r="M4" i="15"/>
  <c r="N4" i="15"/>
  <c r="C25" i="22"/>
  <c r="C26" i="22"/>
  <c r="M39" i="28"/>
  <c r="M50" i="29"/>
  <c r="I39" i="28"/>
  <c r="F39" i="28"/>
  <c r="C39" i="28"/>
  <c r="C31" i="20"/>
  <c r="C24" i="15"/>
  <c r="C31" i="19"/>
  <c r="M25" i="29"/>
  <c r="E39" i="28"/>
  <c r="J39" i="28"/>
  <c r="K39" i="28"/>
  <c r="D39" i="28"/>
  <c r="G39" i="28"/>
  <c r="H39" i="28"/>
  <c r="E42" i="28"/>
  <c r="L39" i="28"/>
  <c r="D42" i="28"/>
  <c r="C23" i="30"/>
  <c r="G42" i="28"/>
  <c r="F23" i="30"/>
  <c r="D23" i="30"/>
  <c r="F42" i="28"/>
  <c r="E23" i="30"/>
  <c r="M10" i="30"/>
  <c r="M12" i="30"/>
  <c r="M17" i="30"/>
  <c r="K23" i="30"/>
  <c r="L42" i="28"/>
  <c r="I42" i="28"/>
  <c r="H23" i="30"/>
  <c r="G23" i="30"/>
  <c r="H42" i="28"/>
  <c r="J23" i="30"/>
  <c r="K42" i="28"/>
  <c r="J42" i="28"/>
  <c r="I23" i="30"/>
  <c r="C28" i="22"/>
  <c r="M35" i="30"/>
  <c r="M22" i="30"/>
  <c r="M21" i="30"/>
  <c r="M42" i="28"/>
  <c r="L23" i="30"/>
  <c r="M27" i="30"/>
  <c r="M23" i="30"/>
  <c r="I36" i="28"/>
  <c r="I40" i="28"/>
  <c r="C41" i="28"/>
  <c r="F36" i="28"/>
  <c r="F40" i="28"/>
  <c r="E36" i="28"/>
  <c r="E40" i="28"/>
  <c r="D36" i="28"/>
  <c r="D40" i="28"/>
  <c r="G36" i="28"/>
  <c r="G40" i="28"/>
  <c r="F41" i="28"/>
  <c r="H36" i="28"/>
  <c r="H40" i="28"/>
  <c r="K36" i="28"/>
  <c r="K40" i="28"/>
  <c r="J36" i="28"/>
  <c r="J40" i="28"/>
  <c r="G41" i="28"/>
  <c r="E41" i="28"/>
  <c r="I41" i="28"/>
  <c r="L36" i="28"/>
  <c r="L40" i="28"/>
  <c r="H41" i="28"/>
  <c r="K41" i="28"/>
  <c r="J41" i="28"/>
  <c r="H46" i="28"/>
  <c r="M40" i="28"/>
  <c r="C44" i="28"/>
  <c r="C36" i="28"/>
  <c r="C40" i="28"/>
  <c r="C43" i="28"/>
  <c r="C45" i="28"/>
  <c r="L41" i="28"/>
  <c r="D41" i="28"/>
  <c r="M32" i="30"/>
  <c r="M36" i="30"/>
  <c r="M41" i="28"/>
  <c r="B37" i="30"/>
  <c r="M28" i="30"/>
</calcChain>
</file>

<file path=xl/sharedStrings.xml><?xml version="1.0" encoding="utf-8"?>
<sst xmlns="http://schemas.openxmlformats.org/spreadsheetml/2006/main" count="835" uniqueCount="306">
  <si>
    <t xml:space="preserve">Net Operating Income </t>
  </si>
  <si>
    <t>Total Net Operating Income</t>
  </si>
  <si>
    <t>Development Costs</t>
  </si>
  <si>
    <t>Total Development Costs</t>
  </si>
  <si>
    <t>Annual Cash Flow</t>
  </si>
  <si>
    <t>Net Operating Income</t>
  </si>
  <si>
    <t>Net Cash Flow</t>
  </si>
  <si>
    <t>Project Buildout by Development Units</t>
  </si>
  <si>
    <t xml:space="preserve">Commercial Infrastructure </t>
  </si>
  <si>
    <t xml:space="preserve">Other Infrastructure </t>
  </si>
  <si>
    <t xml:space="preserve">Total Infrastructure Costs </t>
  </si>
  <si>
    <t>Revenue Assumptions</t>
  </si>
  <si>
    <t>Inflation Factor</t>
  </si>
  <si>
    <t>Gross Lease Revenues</t>
  </si>
  <si>
    <t>Percent Built by Year</t>
  </si>
  <si>
    <t>Infrastructure Costs</t>
  </si>
  <si>
    <t>Assumptions</t>
  </si>
  <si>
    <t>Leasing Revenues</t>
  </si>
  <si>
    <t>Room Revenues</t>
  </si>
  <si>
    <t>Other Revenues</t>
  </si>
  <si>
    <t>Total Revenues</t>
  </si>
  <si>
    <t>Monthly Fees</t>
  </si>
  <si>
    <t>Hourly Fees</t>
  </si>
  <si>
    <t>Expenses</t>
  </si>
  <si>
    <t>Parking Revenue</t>
  </si>
  <si>
    <t>Monthly Parking</t>
  </si>
  <si>
    <t>Hourly Parking</t>
  </si>
  <si>
    <t>Total Parking Revenue</t>
  </si>
  <si>
    <t>factors</t>
  </si>
  <si>
    <t>Monthly Parking Fee</t>
  </si>
  <si>
    <t>Allocation to Monthly Use</t>
  </si>
  <si>
    <t>Percent Occupancy by Monthly Contracts</t>
  </si>
  <si>
    <t>Number of Spaces</t>
  </si>
  <si>
    <t>Nonwork Days</t>
  </si>
  <si>
    <t>Daily Parking Hours</t>
  </si>
  <si>
    <t>Percent Utilization</t>
  </si>
  <si>
    <t>Work Days</t>
  </si>
  <si>
    <t>Hourly Parking Rate</t>
  </si>
  <si>
    <t>Operating Expenses (Percent of Gross Revenue)</t>
  </si>
  <si>
    <t>Net Present Value</t>
  </si>
  <si>
    <t>Structured Parking Spaces</t>
  </si>
  <si>
    <t>Surface Parking Spaces</t>
  </si>
  <si>
    <t>Total Costs of Sale</t>
  </si>
  <si>
    <t>Project Buildout by Area</t>
  </si>
  <si>
    <t>(units)</t>
  </si>
  <si>
    <t>(s.f.)</t>
  </si>
  <si>
    <t>(rooms)</t>
  </si>
  <si>
    <t>(spaces)</t>
  </si>
  <si>
    <t>Total</t>
  </si>
  <si>
    <t>Subtotal</t>
  </si>
  <si>
    <t>Park/Landscaping</t>
  </si>
  <si>
    <t>Total Infrastructure Costs</t>
  </si>
  <si>
    <t>Percent of Total</t>
  </si>
  <si>
    <t>Other</t>
  </si>
  <si>
    <t>Total Costs</t>
  </si>
  <si>
    <t>Net Present Value of Costs</t>
  </si>
  <si>
    <t>Phase I</t>
  </si>
  <si>
    <t>Projected Unit Absorption</t>
  </si>
  <si>
    <t>Average Unit Size</t>
  </si>
  <si>
    <t>Net Rentable Area</t>
  </si>
  <si>
    <t>Monthly Rent per s.f.</t>
  </si>
  <si>
    <t>Occupancy Factor</t>
  </si>
  <si>
    <t>Annual Operating Expenses per s.f.</t>
  </si>
  <si>
    <t>Net Usable Area</t>
  </si>
  <si>
    <t>Sale Price per s.f.</t>
  </si>
  <si>
    <t>GLA Absorbed</t>
  </si>
  <si>
    <t>Vacancy Factor</t>
  </si>
  <si>
    <t>Net Lease Revenue per s.f.</t>
  </si>
  <si>
    <t>Operations and Maintenance Expenser per s.f.</t>
  </si>
  <si>
    <t>Rooms Completed</t>
  </si>
  <si>
    <t>Average Daily Room Rate</t>
  </si>
  <si>
    <t>Team</t>
  </si>
  <si>
    <t>1. Summary Pro Forma</t>
  </si>
  <si>
    <t>2. Multiyear Development Program</t>
  </si>
  <si>
    <t>Rental Housing</t>
  </si>
  <si>
    <t>For-Sale Housing</t>
  </si>
  <si>
    <t>Office/Commercial</t>
  </si>
  <si>
    <t>Retail</t>
  </si>
  <si>
    <t>Hotel</t>
  </si>
  <si>
    <t>Structured Parking</t>
  </si>
  <si>
    <t>Affordable</t>
  </si>
  <si>
    <t>Market-rate</t>
  </si>
  <si>
    <t>Debt Service</t>
  </si>
  <si>
    <t>Loan to Value Ratio (LVR)</t>
  </si>
  <si>
    <t>3. Unit Development and Infrastructure Costs</t>
  </si>
  <si>
    <t>4. Equity and Financing Sources</t>
  </si>
  <si>
    <t>Amount</t>
  </si>
  <si>
    <t>Equity Sources (total)</t>
  </si>
  <si>
    <t>Financing Sources (total)</t>
  </si>
  <si>
    <t>Unit Cost</t>
  </si>
  <si>
    <t>Leveraged IRR Before Taxes</t>
  </si>
  <si>
    <t>Utilities</t>
  </si>
  <si>
    <t>Other Amenities</t>
  </si>
  <si>
    <t>Landscaping</t>
  </si>
  <si>
    <t>Other Hardscaping (not incl. surf. pkg.)</t>
  </si>
  <si>
    <t>Public</t>
  </si>
  <si>
    <t>Indirect costs</t>
  </si>
  <si>
    <t>Total Infrastructure</t>
  </si>
  <si>
    <t>Private</t>
  </si>
  <si>
    <t>Roads</t>
  </si>
  <si>
    <t>Year 0</t>
  </si>
  <si>
    <t xml:space="preserve">Total Asset Value </t>
  </si>
  <si>
    <t>Asset Value</t>
  </si>
  <si>
    <t>Costs of Sale</t>
  </si>
  <si>
    <t>Operations and Maintenance Expenses per s.f.</t>
  </si>
  <si>
    <t>Unleveraged IRR Before Taxes</t>
  </si>
  <si>
    <t>Current Site Value (start of Year 0)</t>
  </si>
  <si>
    <t>Projected Site Value (end of Year 10)</t>
  </si>
  <si>
    <t>Public Subsidies (total, if any)</t>
  </si>
  <si>
    <t>Retail (ALL)</t>
  </si>
  <si>
    <t>Market-rate Retail</t>
  </si>
  <si>
    <t>Land Acquisition</t>
  </si>
  <si>
    <t>Total Income</t>
  </si>
  <si>
    <t>Development Fees</t>
  </si>
  <si>
    <t>Leveraged Net Cash Flow</t>
  </si>
  <si>
    <t>Acquisition Taxes and Fees</t>
  </si>
  <si>
    <t>Built</t>
  </si>
  <si>
    <t>Effective Gross Income</t>
  </si>
  <si>
    <t>2019-2020</t>
  </si>
  <si>
    <t>Discount Rate</t>
  </si>
  <si>
    <t>Rental Housing Cost</t>
  </si>
  <si>
    <t>Park/land</t>
  </si>
  <si>
    <t>other</t>
  </si>
  <si>
    <t>% or PSF</t>
  </si>
  <si>
    <t>Phase II</t>
  </si>
  <si>
    <t>Phase III</t>
  </si>
  <si>
    <t>Office</t>
  </si>
  <si>
    <t>Total (Hotel)</t>
  </si>
  <si>
    <t>Total (Retail)</t>
  </si>
  <si>
    <t>Total (Residential - Market Rate Rental)</t>
  </si>
  <si>
    <t>Total (Residential - Affordable Rental)</t>
  </si>
  <si>
    <t>Total (Residential - Market Rate for Sale)</t>
  </si>
  <si>
    <t>Total (Residential - Affordable for Sale)</t>
  </si>
  <si>
    <t>Total (Structured Parking)</t>
  </si>
  <si>
    <t>Total (Surface Parking)</t>
  </si>
  <si>
    <t>Total (Landscaping)</t>
  </si>
  <si>
    <t>Total (Office/Commercial)</t>
  </si>
  <si>
    <t>Total (Other Commercial)</t>
  </si>
  <si>
    <t>Total (Other Landscaping)</t>
  </si>
  <si>
    <t>Units Completed</t>
  </si>
  <si>
    <t>Units Leased</t>
  </si>
  <si>
    <t xml:space="preserve"> PSF Development Costs</t>
  </si>
  <si>
    <t>Projected Unit Sold</t>
  </si>
  <si>
    <t>Gross Sales Revenues</t>
  </si>
  <si>
    <t>PSF Development Costs</t>
  </si>
  <si>
    <t>net Lease Revenue PSF</t>
  </si>
  <si>
    <t>Demolition Costs</t>
  </si>
  <si>
    <t>Loan Fees</t>
  </si>
  <si>
    <t>Land Acquisition Costs</t>
  </si>
  <si>
    <t>Construction Costs</t>
  </si>
  <si>
    <t>Loan Fee (1.00%)</t>
  </si>
  <si>
    <t>Debt &amp; Equity Funding</t>
  </si>
  <si>
    <t>Equity Funding</t>
  </si>
  <si>
    <t>Debt Funding</t>
  </si>
  <si>
    <t>Cumulative Debt Funding</t>
  </si>
  <si>
    <t>Debt Service Calculation</t>
  </si>
  <si>
    <t>Interest Expense</t>
  </si>
  <si>
    <t>Loan Repayment</t>
  </si>
  <si>
    <t>Total Debt Service</t>
  </si>
  <si>
    <t>Cash Flow After Debt Service</t>
  </si>
  <si>
    <t>(Less) Interest Expense</t>
  </si>
  <si>
    <t>Total CFADS</t>
  </si>
  <si>
    <t>Leveraged IRR Calculation</t>
  </si>
  <si>
    <t>Equity Outlays</t>
  </si>
  <si>
    <t>CFADS</t>
  </si>
  <si>
    <t>Asset Sale</t>
  </si>
  <si>
    <t>(Less) Cost of Sale</t>
  </si>
  <si>
    <t>(Less) Debt Repayment</t>
  </si>
  <si>
    <t>Leveraged Cash Flows</t>
  </si>
  <si>
    <t>Interest Rate</t>
  </si>
  <si>
    <t>Financing</t>
  </si>
  <si>
    <t>Equity Contribution</t>
  </si>
  <si>
    <t>15% Equity Financing</t>
  </si>
  <si>
    <t>65% Loan (debt) Financing</t>
  </si>
  <si>
    <t>Net Area</t>
  </si>
  <si>
    <t>TOTAL</t>
  </si>
  <si>
    <t>Total (Cultural)</t>
  </si>
  <si>
    <t>Total (Transportation)</t>
  </si>
  <si>
    <t>Total (Infrastructure)</t>
  </si>
  <si>
    <t>Totals (sqft)</t>
  </si>
  <si>
    <t>NOFA</t>
  </si>
  <si>
    <t>PhaseIII</t>
  </si>
  <si>
    <t>Office/Commercial (psf)</t>
  </si>
  <si>
    <t>PSF development costs</t>
  </si>
  <si>
    <t>Lot</t>
  </si>
  <si>
    <t>Lot Area</t>
  </si>
  <si>
    <t>Existing FAR</t>
  </si>
  <si>
    <t>Buildable Area</t>
  </si>
  <si>
    <t>New FAR</t>
  </si>
  <si>
    <t>New Buildable Area</t>
  </si>
  <si>
    <t>Increase SF</t>
  </si>
  <si>
    <t>Height Limit</t>
  </si>
  <si>
    <t xml:space="preserve">New Height Limit </t>
  </si>
  <si>
    <t>Buildout</t>
  </si>
  <si>
    <t>30% Core &amp; Structure</t>
  </si>
  <si>
    <t>Net Office</t>
  </si>
  <si>
    <t>Commercial</t>
  </si>
  <si>
    <t>Net Commercial</t>
  </si>
  <si>
    <t>Net Residential</t>
  </si>
  <si>
    <t>University</t>
  </si>
  <si>
    <t>School</t>
  </si>
  <si>
    <t>Required Parking Spaces Res.</t>
  </si>
  <si>
    <t>Required Parking Spaces Office</t>
  </si>
  <si>
    <t>Total Required Parking</t>
  </si>
  <si>
    <t>Surface Parkings  SF</t>
  </si>
  <si>
    <t>Structured Parking SF</t>
  </si>
  <si>
    <t>Net Structured Parking</t>
  </si>
  <si>
    <t>Total Parking Spaces</t>
  </si>
  <si>
    <t>Delta Parking Spots</t>
  </si>
  <si>
    <t>A</t>
  </si>
  <si>
    <t>A.1</t>
  </si>
  <si>
    <t>A.2</t>
  </si>
  <si>
    <t>A.3</t>
  </si>
  <si>
    <t>A.4</t>
  </si>
  <si>
    <t>B</t>
  </si>
  <si>
    <t>C</t>
  </si>
  <si>
    <t>C.1</t>
  </si>
  <si>
    <t>C.2</t>
  </si>
  <si>
    <t>D</t>
  </si>
  <si>
    <t>E</t>
  </si>
  <si>
    <t>F</t>
  </si>
  <si>
    <t>G</t>
  </si>
  <si>
    <t>no limit</t>
  </si>
  <si>
    <t>notes</t>
  </si>
  <si>
    <t xml:space="preserve">*far increase on 3rd St to finance College Campus </t>
  </si>
  <si>
    <t>*Banks Total Current Parking</t>
  </si>
  <si>
    <t>Total SF(gross)</t>
  </si>
  <si>
    <t>Total SF(net)</t>
  </si>
  <si>
    <t>PhaseI</t>
  </si>
  <si>
    <t>Gross Residential</t>
  </si>
  <si>
    <t>Gross Market Rate Residential</t>
  </si>
  <si>
    <t>Net Market Rate Residential</t>
  </si>
  <si>
    <t>Gross Affordable Residential</t>
  </si>
  <si>
    <t>Net Affordable Residential</t>
  </si>
  <si>
    <t>Net University</t>
  </si>
  <si>
    <t>Net School</t>
  </si>
  <si>
    <t>Total (Residential - Market Rate)</t>
  </si>
  <si>
    <t>Total (Residential - Affordable)</t>
  </si>
  <si>
    <t>Total (University)</t>
  </si>
  <si>
    <t>Total (School)</t>
  </si>
  <si>
    <t>NET</t>
  </si>
  <si>
    <t>GROSS</t>
  </si>
  <si>
    <t>PhaseII</t>
  </si>
  <si>
    <t>Totals</t>
  </si>
  <si>
    <t>Cumulative Units Sold</t>
  </si>
  <si>
    <t xml:space="preserve"> Sold</t>
  </si>
  <si>
    <t>Cumulative Parking Spaces</t>
  </si>
  <si>
    <t>Built Net sq ft</t>
  </si>
  <si>
    <t xml:space="preserve">Total Net Operating Income </t>
  </si>
  <si>
    <t>Riverfront Park</t>
  </si>
  <si>
    <t>Unused SF</t>
  </si>
  <si>
    <t>residential units (avg. 838 SF Cin.)</t>
  </si>
  <si>
    <t>office workers</t>
  </si>
  <si>
    <t>Current Office Workers CDB</t>
  </si>
  <si>
    <t>residents</t>
  </si>
  <si>
    <t>Current Residents CDB</t>
  </si>
  <si>
    <t>kids under 18 (22%)</t>
  </si>
  <si>
    <t>Additional Workforce</t>
  </si>
  <si>
    <t>kids under 5 (7.3%)</t>
  </si>
  <si>
    <t>*k-8 school</t>
  </si>
  <si>
    <t>Additional Residents</t>
  </si>
  <si>
    <t xml:space="preserve">required school classroom 30 SF per student </t>
  </si>
  <si>
    <t>% Change in Workforce</t>
  </si>
  <si>
    <t>150 sf per teacher</t>
  </si>
  <si>
    <t>% Change in residents</t>
  </si>
  <si>
    <t>total school SF</t>
  </si>
  <si>
    <t>milage rate of property taxes</t>
  </si>
  <si>
    <t>Hotel Gross</t>
  </si>
  <si>
    <t>Hotel Net</t>
  </si>
  <si>
    <t xml:space="preserve">Landscaping </t>
  </si>
  <si>
    <t>Green</t>
  </si>
  <si>
    <t>Operating Costs</t>
  </si>
  <si>
    <t>Cumulative Rooms</t>
  </si>
  <si>
    <t>Occupancy</t>
  </si>
  <si>
    <t>Total Cumulative Buildout</t>
  </si>
  <si>
    <t>Retail (ALL) (psf)</t>
  </si>
  <si>
    <t>5. Land Acquisition Costs</t>
  </si>
  <si>
    <t>SubLot</t>
  </si>
  <si>
    <t>Cost (psf)</t>
  </si>
  <si>
    <t>Total Cost</t>
  </si>
  <si>
    <t>Area</t>
  </si>
  <si>
    <t>Building Phase</t>
  </si>
  <si>
    <t>I</t>
  </si>
  <si>
    <t>II</t>
  </si>
  <si>
    <t>III</t>
  </si>
  <si>
    <t>Total Acquisition Costs</t>
  </si>
  <si>
    <t>1. Financing</t>
  </si>
  <si>
    <t>2. Funding Costs</t>
  </si>
  <si>
    <t>Costs</t>
  </si>
  <si>
    <t>Total Construction</t>
  </si>
  <si>
    <t>Total Demolition</t>
  </si>
  <si>
    <t>Total Contribution</t>
  </si>
  <si>
    <t>Equity Contributions</t>
  </si>
  <si>
    <t>Community Development Block Grant</t>
  </si>
  <si>
    <t>HUD section 3</t>
  </si>
  <si>
    <t>% total building Costs</t>
  </si>
  <si>
    <t>PACE Grant</t>
  </si>
  <si>
    <t>Developer Equity</t>
  </si>
  <si>
    <t>2. Development Schedule (gross square feet)</t>
  </si>
  <si>
    <t>3. Development Schedule (net square feet)</t>
  </si>
  <si>
    <t>Proctor &amp; Gamble Partnership</t>
  </si>
  <si>
    <t>3CDC Partnership</t>
  </si>
  <si>
    <t>Highway Decking</t>
  </si>
  <si>
    <t>Highway Structural</t>
  </si>
  <si>
    <t>*Highway Structure-additional costs for builing additional areas and floors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</si>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</sst>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-* #,##0_-;\-* #,##0_-;_-* &quot;-&quot;??_-;_-@_-"/>
    <numFmt numFmtId="167" formatCode="_-* #,##0.00_-;\-* #,##0.00_-;_-* &quot;-&quot;??_-;_-@_-"/>
    <numFmt numFmtId="168" formatCode="_-* #,##0.000_-;\-* #,##0.000_-;_-* &quot;-&quot;???_-;_-@_-"/>
  </numFmts>
  <fonts count="3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sz val="10"/>
      <color indexed="12"/>
      <name val="Arial Narrow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8"/>
      <color indexed="9"/>
      <name val="Helvetica"/>
      <family val="2"/>
    </font>
    <font>
      <sz val="8"/>
      <color indexed="9"/>
      <name val="Helvetica"/>
      <family val="2"/>
    </font>
    <font>
      <sz val="8"/>
      <name val="Helvetica"/>
      <family val="2"/>
    </font>
    <font>
      <b/>
      <sz val="8"/>
      <name val="Helvetica"/>
      <family val="2"/>
    </font>
    <font>
      <sz val="8"/>
      <color indexed="12"/>
      <name val="Helvetica"/>
      <family val="2"/>
    </font>
    <font>
      <sz val="10"/>
      <name val="Arial"/>
      <family val="2"/>
    </font>
    <font>
      <sz val="8"/>
      <color indexed="9"/>
      <name val="Helvetica"/>
      <family val="2"/>
    </font>
    <font>
      <sz val="9"/>
      <name val="Arial Narrow"/>
      <family val="2"/>
    </font>
    <font>
      <b/>
      <sz val="9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color theme="7"/>
      <name val="Arial Narrow"/>
      <family val="2"/>
    </font>
    <font>
      <b/>
      <sz val="10"/>
      <color theme="7"/>
      <name val="Arial Narrow"/>
      <family val="2"/>
    </font>
    <font>
      <sz val="9"/>
      <color theme="3" tint="0.59999389629810485"/>
      <name val="Arial Narrow"/>
      <family val="2"/>
    </font>
    <font>
      <sz val="10"/>
      <color theme="3" tint="0.59999389629810485"/>
      <name val="Arial Narrow"/>
      <family val="2"/>
    </font>
    <font>
      <sz val="10"/>
      <color theme="3" tint="0.59999389629810485"/>
      <name val="Arial"/>
      <family val="2"/>
    </font>
    <font>
      <sz val="8"/>
      <color theme="3" tint="0.59999389629810485"/>
      <name val="Helvetica"/>
      <family val="2"/>
    </font>
    <font>
      <b/>
      <sz val="8"/>
      <name val="Helvetica"/>
    </font>
    <font>
      <b/>
      <sz val="10"/>
      <color theme="6" tint="-0.249977111117893"/>
      <name val="Arial Narrow"/>
      <family val="2"/>
    </font>
    <font>
      <sz val="10"/>
      <color theme="2" tint="-0.249977111117893"/>
      <name val="Calibri"/>
      <family val="2"/>
      <scheme val="minor"/>
    </font>
    <font>
      <b/>
      <sz val="10"/>
      <color theme="3" tint="0.59999389629810485"/>
      <name val="Arial Narrow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C00000"/>
      <name val="Arial Narrow"/>
      <family val="2"/>
    </font>
    <font>
      <sz val="10"/>
      <color rgb="FFC00000"/>
      <name val="Arial Narrow"/>
      <family val="2"/>
    </font>
    <font>
      <sz val="9"/>
      <color rgb="FF0070C0"/>
      <name val="Arial Narrow"/>
      <family val="2"/>
    </font>
  </fonts>
  <fills count="21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1024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9" fontId="3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2" xfId="0" applyFont="1" applyBorder="1"/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4" fillId="0" borderId="4" xfId="0" applyFont="1" applyBorder="1"/>
    <xf numFmtId="0" fontId="3" fillId="0" borderId="4" xfId="0" applyFont="1" applyBorder="1"/>
    <xf numFmtId="9" fontId="3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3" fillId="0" borderId="5" xfId="0" applyFont="1" applyBorder="1" applyAlignment="1">
      <alignment horizontal="right"/>
    </xf>
    <xf numFmtId="0" fontId="4" fillId="0" borderId="5" xfId="0" applyFont="1" applyBorder="1"/>
    <xf numFmtId="0" fontId="4" fillId="0" borderId="1" xfId="0" applyFont="1" applyBorder="1" applyAlignment="1">
      <alignment horizontal="center"/>
    </xf>
    <xf numFmtId="0" fontId="5" fillId="0" borderId="0" xfId="0" applyFont="1"/>
    <xf numFmtId="0" fontId="3" fillId="0" borderId="1" xfId="0" applyFont="1" applyBorder="1" applyAlignment="1">
      <alignment horizontal="left"/>
    </xf>
    <xf numFmtId="9" fontId="3" fillId="0" borderId="5" xfId="0" applyNumberFormat="1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right"/>
    </xf>
    <xf numFmtId="0" fontId="3" fillId="0" borderId="7" xfId="0" applyFont="1" applyFill="1" applyBorder="1" applyAlignment="1">
      <alignment horizontal="center"/>
    </xf>
    <xf numFmtId="9" fontId="3" fillId="0" borderId="3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9" fontId="3" fillId="0" borderId="2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right"/>
    </xf>
    <xf numFmtId="0" fontId="3" fillId="0" borderId="3" xfId="0" applyFont="1" applyBorder="1" applyAlignment="1">
      <alignment horizontal="right" wrapText="1"/>
    </xf>
    <xf numFmtId="9" fontId="3" fillId="0" borderId="3" xfId="0" applyNumberFormat="1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7" xfId="0" applyFont="1" applyBorder="1" applyAlignment="1">
      <alignment horizontal="right" wrapText="1"/>
    </xf>
    <xf numFmtId="9" fontId="3" fillId="0" borderId="7" xfId="0" applyNumberFormat="1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4" fillId="0" borderId="8" xfId="0" applyFont="1" applyBorder="1" applyAlignment="1">
      <alignment horizontal="right" vertical="center"/>
    </xf>
    <xf numFmtId="0" fontId="4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2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0" xfId="0" applyFont="1" applyFill="1"/>
    <xf numFmtId="0" fontId="3" fillId="0" borderId="3" xfId="0" applyFont="1" applyFill="1" applyBorder="1" applyAlignment="1">
      <alignment horizontal="right" wrapText="1"/>
    </xf>
    <xf numFmtId="0" fontId="3" fillId="0" borderId="0" xfId="0" applyFont="1" applyFill="1" applyAlignment="1">
      <alignment horizontal="center"/>
    </xf>
    <xf numFmtId="0" fontId="4" fillId="0" borderId="5" xfId="0" applyFont="1" applyFill="1" applyBorder="1" applyAlignment="1">
      <alignment horizontal="right"/>
    </xf>
    <xf numFmtId="0" fontId="4" fillId="0" borderId="5" xfId="0" applyFont="1" applyFill="1" applyBorder="1"/>
    <xf numFmtId="0" fontId="3" fillId="0" borderId="3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164" fontId="3" fillId="0" borderId="3" xfId="2" applyNumberFormat="1" applyFont="1" applyFill="1" applyBorder="1" applyAlignment="1">
      <alignment horizontal="center"/>
    </xf>
    <xf numFmtId="9" fontId="3" fillId="0" borderId="0" xfId="3" applyFont="1" applyAlignment="1">
      <alignment horizontal="center"/>
    </xf>
    <xf numFmtId="0" fontId="1" fillId="0" borderId="0" xfId="0" applyFont="1"/>
    <xf numFmtId="0" fontId="10" fillId="5" borderId="0" xfId="1" applyFont="1" applyFill="1"/>
    <xf numFmtId="0" fontId="13" fillId="0" borderId="0" xfId="1" applyFont="1" applyAlignment="1">
      <alignment vertical="center"/>
    </xf>
    <xf numFmtId="0" fontId="13" fillId="0" borderId="0" xfId="1" applyFont="1"/>
    <xf numFmtId="0" fontId="13" fillId="0" borderId="0" xfId="1" applyFont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13" fillId="0" borderId="0" xfId="1" applyFont="1" applyAlignment="1">
      <alignment wrapText="1"/>
    </xf>
    <xf numFmtId="0" fontId="13" fillId="0" borderId="0" xfId="1" applyFont="1" applyFill="1" applyBorder="1" applyAlignment="1"/>
    <xf numFmtId="0" fontId="13" fillId="0" borderId="0" xfId="1" applyFont="1" applyBorder="1"/>
    <xf numFmtId="0" fontId="13" fillId="0" borderId="0" xfId="1" applyFont="1" applyFill="1" applyAlignment="1">
      <alignment horizontal="center"/>
    </xf>
    <xf numFmtId="0" fontId="13" fillId="0" borderId="0" xfId="1" applyFont="1" applyFill="1"/>
    <xf numFmtId="0" fontId="13" fillId="0" borderId="0" xfId="0" applyFont="1"/>
    <xf numFmtId="0" fontId="17" fillId="0" borderId="0" xfId="1" applyFont="1" applyFill="1" applyAlignment="1">
      <alignment vertical="center"/>
    </xf>
    <xf numFmtId="0" fontId="17" fillId="0" borderId="22" xfId="1" applyFont="1" applyFill="1" applyBorder="1" applyAlignment="1">
      <alignment vertical="center"/>
    </xf>
    <xf numFmtId="9" fontId="3" fillId="0" borderId="0" xfId="0" applyNumberFormat="1" applyFont="1" applyAlignment="1">
      <alignment horizontal="center"/>
    </xf>
    <xf numFmtId="0" fontId="3" fillId="0" borderId="3" xfId="0" applyFont="1" applyBorder="1" applyAlignment="1">
      <alignment horizontal="right"/>
    </xf>
    <xf numFmtId="0" fontId="18" fillId="0" borderId="0" xfId="0" applyFont="1"/>
    <xf numFmtId="0" fontId="20" fillId="5" borderId="12" xfId="1" applyFont="1" applyFill="1" applyBorder="1" applyAlignment="1"/>
    <xf numFmtId="0" fontId="20" fillId="5" borderId="13" xfId="1" applyFont="1" applyFill="1" applyBorder="1" applyAlignment="1"/>
    <xf numFmtId="0" fontId="20" fillId="5" borderId="20" xfId="1" applyFont="1" applyFill="1" applyBorder="1" applyAlignment="1">
      <alignment horizontal="center"/>
    </xf>
    <xf numFmtId="0" fontId="21" fillId="5" borderId="18" xfId="1" applyFont="1" applyFill="1" applyBorder="1" applyAlignment="1">
      <alignment horizontal="center"/>
    </xf>
    <xf numFmtId="0" fontId="20" fillId="5" borderId="10" xfId="0" applyFont="1" applyFill="1" applyBorder="1" applyAlignment="1">
      <alignment horizontal="center"/>
    </xf>
    <xf numFmtId="3" fontId="20" fillId="5" borderId="10" xfId="0" applyNumberFormat="1" applyFont="1" applyFill="1" applyBorder="1" applyAlignment="1">
      <alignment horizontal="center"/>
    </xf>
    <xf numFmtId="0" fontId="20" fillId="5" borderId="21" xfId="0" applyFont="1" applyFill="1" applyBorder="1"/>
    <xf numFmtId="0" fontId="20" fillId="5" borderId="0" xfId="0" applyFont="1" applyFill="1" applyBorder="1" applyAlignment="1">
      <alignment horizontal="center"/>
    </xf>
    <xf numFmtId="3" fontId="18" fillId="0" borderId="0" xfId="0" applyNumberFormat="1" applyFont="1"/>
    <xf numFmtId="0" fontId="20" fillId="0" borderId="21" xfId="0" applyFont="1" applyFill="1" applyBorder="1"/>
    <xf numFmtId="0" fontId="21" fillId="5" borderId="20" xfId="0" applyFont="1" applyFill="1" applyBorder="1"/>
    <xf numFmtId="0" fontId="20" fillId="5" borderId="18" xfId="0" applyFont="1" applyFill="1" applyBorder="1" applyAlignment="1">
      <alignment horizontal="center"/>
    </xf>
    <xf numFmtId="0" fontId="18" fillId="0" borderId="0" xfId="1" applyFont="1"/>
    <xf numFmtId="0" fontId="18" fillId="0" borderId="0" xfId="1" applyFont="1" applyAlignment="1">
      <alignment horizontal="center"/>
    </xf>
    <xf numFmtId="3" fontId="21" fillId="5" borderId="0" xfId="0" applyNumberFormat="1" applyFont="1" applyFill="1" applyBorder="1" applyAlignment="1">
      <alignment horizontal="center"/>
    </xf>
    <xf numFmtId="0" fontId="18" fillId="0" borderId="0" xfId="0" applyFont="1" applyBorder="1"/>
    <xf numFmtId="0" fontId="20" fillId="0" borderId="0" xfId="0" applyFont="1" applyFill="1" applyBorder="1" applyAlignment="1">
      <alignment horizontal="center"/>
    </xf>
    <xf numFmtId="3" fontId="21" fillId="0" borderId="0" xfId="0" applyNumberFormat="1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0" xfId="0" applyFont="1" applyAlignment="1">
      <alignment horizontal="right"/>
    </xf>
    <xf numFmtId="0" fontId="20" fillId="5" borderId="16" xfId="0" applyFont="1" applyFill="1" applyBorder="1" applyAlignment="1">
      <alignment horizontal="center"/>
    </xf>
    <xf numFmtId="0" fontId="19" fillId="0" borderId="36" xfId="0" applyFont="1" applyBorder="1" applyAlignment="1">
      <alignment horizontal="left" vertical="center"/>
    </xf>
    <xf numFmtId="0" fontId="21" fillId="0" borderId="21" xfId="0" applyFont="1" applyFill="1" applyBorder="1"/>
    <xf numFmtId="3" fontId="21" fillId="0" borderId="22" xfId="0" applyNumberFormat="1" applyFont="1" applyFill="1" applyBorder="1" applyAlignment="1">
      <alignment horizontal="center"/>
    </xf>
    <xf numFmtId="0" fontId="4" fillId="0" borderId="11" xfId="0" applyFont="1" applyBorder="1" applyAlignment="1">
      <alignment horizontal="right" vertical="center"/>
    </xf>
    <xf numFmtId="0" fontId="4" fillId="0" borderId="36" xfId="0" applyFont="1" applyBorder="1" applyAlignment="1">
      <alignment horizontal="left" vertical="center"/>
    </xf>
    <xf numFmtId="0" fontId="3" fillId="0" borderId="12" xfId="0" applyFont="1" applyBorder="1"/>
    <xf numFmtId="0" fontId="3" fillId="0" borderId="13" xfId="0" applyFont="1" applyBorder="1"/>
    <xf numFmtId="0" fontId="3" fillId="0" borderId="13" xfId="0" applyFont="1" applyBorder="1" applyAlignment="1">
      <alignment horizontal="center"/>
    </xf>
    <xf numFmtId="0" fontId="3" fillId="0" borderId="14" xfId="0" applyFont="1" applyBorder="1"/>
    <xf numFmtId="0" fontId="4" fillId="0" borderId="38" xfId="0" applyFont="1" applyBorder="1"/>
    <xf numFmtId="0" fontId="4" fillId="0" borderId="44" xfId="0" applyFont="1" applyBorder="1"/>
    <xf numFmtId="0" fontId="4" fillId="0" borderId="45" xfId="0" applyFont="1" applyBorder="1"/>
    <xf numFmtId="0" fontId="4" fillId="0" borderId="10" xfId="0" applyFont="1" applyFill="1" applyBorder="1" applyAlignment="1">
      <alignment horizontal="center"/>
    </xf>
    <xf numFmtId="44" fontId="3" fillId="12" borderId="3" xfId="0" applyNumberFormat="1" applyFont="1" applyFill="1" applyBorder="1" applyAlignment="1">
      <alignment horizontal="center"/>
    </xf>
    <xf numFmtId="44" fontId="3" fillId="12" borderId="3" xfId="0" applyNumberFormat="1" applyFont="1" applyFill="1" applyBorder="1" applyAlignment="1">
      <alignment horizontal="right"/>
    </xf>
    <xf numFmtId="44" fontId="3" fillId="12" borderId="2" xfId="0" applyNumberFormat="1" applyFont="1" applyFill="1" applyBorder="1" applyAlignment="1">
      <alignment horizontal="center"/>
    </xf>
    <xf numFmtId="44" fontId="3" fillId="13" borderId="3" xfId="0" applyNumberFormat="1" applyFont="1" applyFill="1" applyBorder="1" applyAlignment="1">
      <alignment horizontal="center"/>
    </xf>
    <xf numFmtId="44" fontId="3" fillId="13" borderId="3" xfId="0" applyNumberFormat="1" applyFont="1" applyFill="1" applyBorder="1" applyAlignment="1">
      <alignment horizontal="right"/>
    </xf>
    <xf numFmtId="44" fontId="3" fillId="13" borderId="2" xfId="0" applyNumberFormat="1" applyFont="1" applyFill="1" applyBorder="1" applyAlignment="1">
      <alignment horizontal="center"/>
    </xf>
    <xf numFmtId="44" fontId="3" fillId="11" borderId="3" xfId="0" applyNumberFormat="1" applyFont="1" applyFill="1" applyBorder="1" applyAlignment="1">
      <alignment horizontal="center"/>
    </xf>
    <xf numFmtId="44" fontId="3" fillId="11" borderId="3" xfId="0" applyNumberFormat="1" applyFont="1" applyFill="1" applyBorder="1" applyAlignment="1">
      <alignment horizontal="right"/>
    </xf>
    <xf numFmtId="44" fontId="3" fillId="11" borderId="2" xfId="0" applyNumberFormat="1" applyFont="1" applyFill="1" applyBorder="1" applyAlignment="1">
      <alignment horizontal="center"/>
    </xf>
    <xf numFmtId="44" fontId="3" fillId="14" borderId="47" xfId="0" applyNumberFormat="1" applyFont="1" applyFill="1" applyBorder="1" applyAlignment="1">
      <alignment horizontal="center"/>
    </xf>
    <xf numFmtId="44" fontId="3" fillId="14" borderId="48" xfId="0" applyNumberFormat="1" applyFont="1" applyFill="1" applyBorder="1" applyAlignment="1">
      <alignment horizontal="center"/>
    </xf>
    <xf numFmtId="44" fontId="3" fillId="14" borderId="49" xfId="0" applyNumberFormat="1" applyFont="1" applyFill="1" applyBorder="1"/>
    <xf numFmtId="44" fontId="3" fillId="14" borderId="47" xfId="0" applyNumberFormat="1" applyFont="1" applyFill="1" applyBorder="1" applyAlignment="1">
      <alignment horizontal="right"/>
    </xf>
    <xf numFmtId="44" fontId="3" fillId="14" borderId="48" xfId="0" applyNumberFormat="1" applyFont="1" applyFill="1" applyBorder="1" applyAlignment="1">
      <alignment horizontal="right"/>
    </xf>
    <xf numFmtId="44" fontId="3" fillId="14" borderId="49" xfId="0" applyNumberFormat="1" applyFont="1" applyFill="1" applyBorder="1" applyAlignment="1">
      <alignment horizontal="right"/>
    </xf>
    <xf numFmtId="44" fontId="3" fillId="14" borderId="2" xfId="0" applyNumberFormat="1" applyFont="1" applyFill="1" applyBorder="1" applyAlignment="1">
      <alignment horizontal="center"/>
    </xf>
    <xf numFmtId="9" fontId="3" fillId="14" borderId="5" xfId="0" applyNumberFormat="1" applyFont="1" applyFill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13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center"/>
    </xf>
    <xf numFmtId="0" fontId="6" fillId="0" borderId="13" xfId="1" applyFont="1" applyFill="1" applyBorder="1"/>
    <xf numFmtId="0" fontId="4" fillId="0" borderId="14" xfId="0" applyFont="1" applyFill="1" applyBorder="1" applyAlignment="1">
      <alignment horizontal="center"/>
    </xf>
    <xf numFmtId="44" fontId="3" fillId="11" borderId="37" xfId="0" applyNumberFormat="1" applyFont="1" applyFill="1" applyBorder="1" applyAlignment="1">
      <alignment horizontal="center"/>
    </xf>
    <xf numFmtId="9" fontId="3" fillId="14" borderId="45" xfId="0" applyNumberFormat="1" applyFont="1" applyFill="1" applyBorder="1" applyAlignment="1">
      <alignment horizontal="center"/>
    </xf>
    <xf numFmtId="0" fontId="3" fillId="12" borderId="45" xfId="0" applyFont="1" applyFill="1" applyBorder="1"/>
    <xf numFmtId="0" fontId="3" fillId="13" borderId="45" xfId="0" applyFont="1" applyFill="1" applyBorder="1"/>
    <xf numFmtId="0" fontId="3" fillId="11" borderId="45" xfId="0" applyFont="1" applyFill="1" applyBorder="1"/>
    <xf numFmtId="0" fontId="3" fillId="11" borderId="46" xfId="0" applyFont="1" applyFill="1" applyBorder="1"/>
    <xf numFmtId="0" fontId="3" fillId="0" borderId="12" xfId="0" applyFont="1" applyBorder="1" applyAlignment="1">
      <alignment horizontal="center"/>
    </xf>
    <xf numFmtId="0" fontId="4" fillId="0" borderId="12" xfId="0" applyFont="1" applyFill="1" applyBorder="1" applyAlignment="1">
      <alignment horizontal="left"/>
    </xf>
    <xf numFmtId="10" fontId="3" fillId="3" borderId="42" xfId="0" applyNumberFormat="1" applyFont="1" applyFill="1" applyBorder="1" applyAlignment="1">
      <alignment horizontal="center"/>
    </xf>
    <xf numFmtId="10" fontId="3" fillId="3" borderId="51" xfId="0" applyNumberFormat="1" applyFont="1" applyFill="1" applyBorder="1" applyAlignment="1">
      <alignment horizontal="center"/>
    </xf>
    <xf numFmtId="10" fontId="3" fillId="3" borderId="43" xfId="0" applyNumberFormat="1" applyFont="1" applyFill="1" applyBorder="1" applyAlignment="1">
      <alignment horizontal="right"/>
    </xf>
    <xf numFmtId="0" fontId="3" fillId="3" borderId="42" xfId="0" applyFont="1" applyFill="1" applyBorder="1" applyAlignment="1">
      <alignment horizontal="right"/>
    </xf>
    <xf numFmtId="44" fontId="3" fillId="3" borderId="43" xfId="0" applyNumberFormat="1" applyFont="1" applyFill="1" applyBorder="1" applyAlignment="1">
      <alignment horizontal="right"/>
    </xf>
    <xf numFmtId="44" fontId="3" fillId="3" borderId="38" xfId="0" applyNumberFormat="1" applyFont="1" applyFill="1" applyBorder="1" applyAlignment="1">
      <alignment horizontal="center"/>
    </xf>
    <xf numFmtId="44" fontId="3" fillId="0" borderId="44" xfId="0" applyNumberFormat="1" applyFont="1" applyFill="1" applyBorder="1" applyAlignment="1">
      <alignment horizontal="center"/>
    </xf>
    <xf numFmtId="0" fontId="3" fillId="0" borderId="23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4" fillId="0" borderId="23" xfId="0" applyFont="1" applyFill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52" xfId="1" applyFont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35" xfId="0" applyFont="1" applyBorder="1" applyAlignment="1">
      <alignment horizontal="left"/>
    </xf>
    <xf numFmtId="0" fontId="4" fillId="0" borderId="32" xfId="0" applyFont="1" applyBorder="1" applyAlignment="1">
      <alignment horizontal="right"/>
    </xf>
    <xf numFmtId="9" fontId="3" fillId="0" borderId="35" xfId="0" applyNumberFormat="1" applyFont="1" applyFill="1" applyBorder="1" applyAlignment="1">
      <alignment horizontal="center"/>
    </xf>
    <xf numFmtId="9" fontId="3" fillId="0" borderId="32" xfId="0" applyNumberFormat="1" applyFont="1" applyFill="1" applyBorder="1" applyAlignment="1">
      <alignment horizontal="center"/>
    </xf>
    <xf numFmtId="2" fontId="3" fillId="0" borderId="32" xfId="0" applyNumberFormat="1" applyFont="1" applyFill="1" applyBorder="1" applyAlignment="1">
      <alignment horizontal="center"/>
    </xf>
    <xf numFmtId="2" fontId="3" fillId="0" borderId="34" xfId="0" applyNumberFormat="1" applyFont="1" applyFill="1" applyBorder="1" applyAlignment="1">
      <alignment horizontal="center"/>
    </xf>
    <xf numFmtId="0" fontId="3" fillId="0" borderId="33" xfId="0" applyFont="1" applyBorder="1"/>
    <xf numFmtId="0" fontId="23" fillId="0" borderId="33" xfId="0" applyFont="1" applyFill="1" applyBorder="1"/>
    <xf numFmtId="0" fontId="3" fillId="0" borderId="7" xfId="0" applyFont="1" applyFill="1" applyBorder="1" applyAlignment="1">
      <alignment horizontal="right"/>
    </xf>
    <xf numFmtId="0" fontId="4" fillId="0" borderId="4" xfId="0" applyFont="1" applyFill="1" applyBorder="1"/>
    <xf numFmtId="0" fontId="4" fillId="0" borderId="3" xfId="0" applyFont="1" applyFill="1" applyBorder="1"/>
    <xf numFmtId="166" fontId="18" fillId="0" borderId="0" xfId="4" applyNumberFormat="1" applyFont="1" applyFill="1" applyBorder="1"/>
    <xf numFmtId="0" fontId="21" fillId="0" borderId="0" xfId="0" applyFont="1" applyFill="1" applyBorder="1" applyAlignment="1">
      <alignment wrapText="1"/>
    </xf>
    <xf numFmtId="0" fontId="21" fillId="5" borderId="0" xfId="1" applyFont="1" applyFill="1" applyBorder="1" applyAlignment="1">
      <alignment horizontal="center"/>
    </xf>
    <xf numFmtId="3" fontId="24" fillId="0" borderId="0" xfId="0" applyNumberFormat="1" applyFont="1" applyBorder="1"/>
    <xf numFmtId="3" fontId="24" fillId="0" borderId="0" xfId="0" applyNumberFormat="1" applyFont="1" applyBorder="1" applyAlignment="1">
      <alignment horizontal="left" indent="1"/>
    </xf>
    <xf numFmtId="0" fontId="24" fillId="0" borderId="0" xfId="0" applyFont="1" applyBorder="1"/>
    <xf numFmtId="0" fontId="19" fillId="0" borderId="0" xfId="0" applyFont="1" applyFill="1" applyBorder="1"/>
    <xf numFmtId="4" fontId="18" fillId="0" borderId="0" xfId="0" applyNumberFormat="1" applyFont="1" applyFill="1" applyBorder="1"/>
    <xf numFmtId="0" fontId="18" fillId="0" borderId="0" xfId="1" applyFont="1" applyFill="1" applyBorder="1"/>
    <xf numFmtId="0" fontId="18" fillId="0" borderId="0" xfId="1" applyFont="1" applyFill="1" applyBorder="1" applyAlignment="1">
      <alignment horizontal="center"/>
    </xf>
    <xf numFmtId="2" fontId="8" fillId="12" borderId="21" xfId="0" applyNumberFormat="1" applyFont="1" applyFill="1" applyBorder="1" applyAlignment="1"/>
    <xf numFmtId="0" fontId="3" fillId="12" borderId="3" xfId="0" applyFont="1" applyFill="1" applyBorder="1" applyAlignment="1">
      <alignment horizontal="right"/>
    </xf>
    <xf numFmtId="3" fontId="8" fillId="12" borderId="21" xfId="0" applyNumberFormat="1" applyFont="1" applyFill="1" applyBorder="1" applyAlignment="1"/>
    <xf numFmtId="3" fontId="8" fillId="12" borderId="0" xfId="0" applyNumberFormat="1" applyFont="1" applyFill="1" applyBorder="1" applyAlignment="1"/>
    <xf numFmtId="2" fontId="3" fillId="12" borderId="3" xfId="0" applyNumberFormat="1" applyFont="1" applyFill="1" applyBorder="1" applyAlignment="1">
      <alignment horizontal="right"/>
    </xf>
    <xf numFmtId="0" fontId="3" fillId="12" borderId="2" xfId="0" applyFont="1" applyFill="1" applyBorder="1" applyAlignment="1">
      <alignment horizontal="right"/>
    </xf>
    <xf numFmtId="44" fontId="3" fillId="12" borderId="3" xfId="2" applyFont="1" applyFill="1" applyBorder="1" applyAlignment="1">
      <alignment horizontal="center"/>
    </xf>
    <xf numFmtId="44" fontId="3" fillId="12" borderId="5" xfId="2" applyFont="1" applyFill="1" applyBorder="1" applyAlignment="1">
      <alignment horizontal="center"/>
    </xf>
    <xf numFmtId="9" fontId="3" fillId="12" borderId="3" xfId="3" applyFont="1" applyFill="1" applyBorder="1" applyAlignment="1">
      <alignment horizontal="center"/>
    </xf>
    <xf numFmtId="0" fontId="3" fillId="12" borderId="5" xfId="0" applyFont="1" applyFill="1" applyBorder="1" applyAlignment="1">
      <alignment horizontal="center"/>
    </xf>
    <xf numFmtId="164" fontId="3" fillId="12" borderId="3" xfId="0" applyNumberFormat="1" applyFont="1" applyFill="1" applyBorder="1" applyAlignment="1">
      <alignment horizontal="center"/>
    </xf>
    <xf numFmtId="164" fontId="3" fillId="12" borderId="7" xfId="2" applyNumberFormat="1" applyFont="1" applyFill="1" applyBorder="1" applyAlignment="1">
      <alignment horizontal="center"/>
    </xf>
    <xf numFmtId="10" fontId="8" fillId="12" borderId="16" xfId="0" applyNumberFormat="1" applyFont="1" applyFill="1" applyBorder="1" applyAlignment="1"/>
    <xf numFmtId="2" fontId="8" fillId="11" borderId="21" xfId="0" applyNumberFormat="1" applyFont="1" applyFill="1" applyBorder="1" applyAlignment="1"/>
    <xf numFmtId="0" fontId="3" fillId="11" borderId="3" xfId="0" applyFont="1" applyFill="1" applyBorder="1" applyAlignment="1">
      <alignment horizontal="right"/>
    </xf>
    <xf numFmtId="3" fontId="8" fillId="11" borderId="21" xfId="0" applyNumberFormat="1" applyFont="1" applyFill="1" applyBorder="1" applyAlignment="1"/>
    <xf numFmtId="3" fontId="8" fillId="11" borderId="0" xfId="0" applyNumberFormat="1" applyFont="1" applyFill="1" applyBorder="1" applyAlignment="1"/>
    <xf numFmtId="2" fontId="3" fillId="11" borderId="3" xfId="0" applyNumberFormat="1" applyFont="1" applyFill="1" applyBorder="1" applyAlignment="1">
      <alignment horizontal="right"/>
    </xf>
    <xf numFmtId="10" fontId="8" fillId="11" borderId="16" xfId="0" applyNumberFormat="1" applyFont="1" applyFill="1" applyBorder="1" applyAlignment="1"/>
    <xf numFmtId="0" fontId="3" fillId="11" borderId="2" xfId="0" applyFont="1" applyFill="1" applyBorder="1" applyAlignment="1">
      <alignment horizontal="right"/>
    </xf>
    <xf numFmtId="44" fontId="3" fillId="11" borderId="3" xfId="2" applyFont="1" applyFill="1" applyBorder="1" applyAlignment="1">
      <alignment horizontal="center"/>
    </xf>
    <xf numFmtId="44" fontId="3" fillId="11" borderId="5" xfId="2" applyFont="1" applyFill="1" applyBorder="1" applyAlignment="1">
      <alignment horizontal="center"/>
    </xf>
    <xf numFmtId="9" fontId="3" fillId="11" borderId="3" xfId="3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164" fontId="3" fillId="11" borderId="3" xfId="0" applyNumberFormat="1" applyFont="1" applyFill="1" applyBorder="1" applyAlignment="1">
      <alignment horizontal="center"/>
    </xf>
    <xf numFmtId="164" fontId="3" fillId="11" borderId="7" xfId="2" applyNumberFormat="1" applyFont="1" applyFill="1" applyBorder="1" applyAlignment="1">
      <alignment horizontal="center"/>
    </xf>
    <xf numFmtId="2" fontId="8" fillId="13" borderId="21" xfId="0" applyNumberFormat="1" applyFont="1" applyFill="1" applyBorder="1" applyAlignment="1"/>
    <xf numFmtId="0" fontId="3" fillId="13" borderId="3" xfId="0" applyFont="1" applyFill="1" applyBorder="1" applyAlignment="1">
      <alignment horizontal="right"/>
    </xf>
    <xf numFmtId="3" fontId="8" fillId="13" borderId="21" xfId="0" applyNumberFormat="1" applyFont="1" applyFill="1" applyBorder="1" applyAlignment="1"/>
    <xf numFmtId="3" fontId="8" fillId="13" borderId="0" xfId="0" applyNumberFormat="1" applyFont="1" applyFill="1" applyBorder="1" applyAlignment="1"/>
    <xf numFmtId="2" fontId="3" fillId="13" borderId="3" xfId="0" applyNumberFormat="1" applyFont="1" applyFill="1" applyBorder="1" applyAlignment="1">
      <alignment horizontal="right"/>
    </xf>
    <xf numFmtId="10" fontId="8" fillId="13" borderId="16" xfId="0" applyNumberFormat="1" applyFont="1" applyFill="1" applyBorder="1" applyAlignment="1"/>
    <xf numFmtId="0" fontId="3" fillId="13" borderId="2" xfId="0" applyFont="1" applyFill="1" applyBorder="1" applyAlignment="1">
      <alignment horizontal="right"/>
    </xf>
    <xf numFmtId="44" fontId="3" fillId="13" borderId="3" xfId="2" applyFont="1" applyFill="1" applyBorder="1" applyAlignment="1">
      <alignment horizontal="center"/>
    </xf>
    <xf numFmtId="44" fontId="3" fillId="13" borderId="5" xfId="2" applyFont="1" applyFill="1" applyBorder="1" applyAlignment="1">
      <alignment horizontal="center"/>
    </xf>
    <xf numFmtId="9" fontId="3" fillId="13" borderId="3" xfId="3" applyFont="1" applyFill="1" applyBorder="1" applyAlignment="1">
      <alignment horizontal="center"/>
    </xf>
    <xf numFmtId="0" fontId="3" fillId="13" borderId="5" xfId="0" applyFont="1" applyFill="1" applyBorder="1" applyAlignment="1">
      <alignment horizontal="center"/>
    </xf>
    <xf numFmtId="164" fontId="3" fillId="13" borderId="3" xfId="0" applyNumberFormat="1" applyFont="1" applyFill="1" applyBorder="1" applyAlignment="1">
      <alignment horizontal="center"/>
    </xf>
    <xf numFmtId="164" fontId="3" fillId="13" borderId="7" xfId="2" applyNumberFormat="1" applyFont="1" applyFill="1" applyBorder="1" applyAlignment="1">
      <alignment horizontal="center"/>
    </xf>
    <xf numFmtId="0" fontId="3" fillId="14" borderId="0" xfId="0" applyFont="1" applyFill="1" applyBorder="1" applyAlignment="1">
      <alignment horizontal="center"/>
    </xf>
    <xf numFmtId="0" fontId="3" fillId="14" borderId="3" xfId="0" applyFont="1" applyFill="1" applyBorder="1" applyAlignment="1">
      <alignment horizontal="center"/>
    </xf>
    <xf numFmtId="3" fontId="8" fillId="14" borderId="21" xfId="0" applyNumberFormat="1" applyFont="1" applyFill="1" applyBorder="1" applyAlignment="1"/>
    <xf numFmtId="3" fontId="8" fillId="14" borderId="0" xfId="0" applyNumberFormat="1" applyFont="1" applyFill="1" applyBorder="1" applyAlignment="1"/>
    <xf numFmtId="0" fontId="3" fillId="14" borderId="2" xfId="0" applyFont="1" applyFill="1" applyBorder="1" applyAlignment="1">
      <alignment horizontal="center"/>
    </xf>
    <xf numFmtId="44" fontId="3" fillId="14" borderId="3" xfId="2" applyFont="1" applyFill="1" applyBorder="1" applyAlignment="1">
      <alignment horizontal="center"/>
    </xf>
    <xf numFmtId="44" fontId="3" fillId="14" borderId="5" xfId="2" applyFont="1" applyFill="1" applyBorder="1" applyAlignment="1">
      <alignment horizontal="center"/>
    </xf>
    <xf numFmtId="9" fontId="3" fillId="14" borderId="3" xfId="3" applyFont="1" applyFill="1" applyBorder="1" applyAlignment="1">
      <alignment horizontal="center"/>
    </xf>
    <xf numFmtId="0" fontId="3" fillId="14" borderId="5" xfId="0" applyFont="1" applyFill="1" applyBorder="1" applyAlignment="1">
      <alignment horizontal="center"/>
    </xf>
    <xf numFmtId="44" fontId="3" fillId="14" borderId="3" xfId="0" applyNumberFormat="1" applyFont="1" applyFill="1" applyBorder="1" applyAlignment="1">
      <alignment horizontal="center"/>
    </xf>
    <xf numFmtId="164" fontId="3" fillId="14" borderId="7" xfId="2" applyNumberFormat="1" applyFont="1" applyFill="1" applyBorder="1" applyAlignment="1">
      <alignment horizontal="center"/>
    </xf>
    <xf numFmtId="44" fontId="3" fillId="14" borderId="7" xfId="2" applyFont="1" applyFill="1" applyBorder="1" applyAlignment="1">
      <alignment horizontal="center"/>
    </xf>
    <xf numFmtId="164" fontId="3" fillId="14" borderId="3" xfId="2" applyNumberFormat="1" applyFont="1" applyFill="1" applyBorder="1" applyAlignment="1">
      <alignment horizontal="center"/>
    </xf>
    <xf numFmtId="0" fontId="21" fillId="12" borderId="12" xfId="1" applyFont="1" applyFill="1" applyBorder="1" applyAlignment="1">
      <alignment horizontal="centerContinuous"/>
    </xf>
    <xf numFmtId="0" fontId="20" fillId="12" borderId="13" xfId="1" applyFont="1" applyFill="1" applyBorder="1" applyAlignment="1">
      <alignment horizontal="centerContinuous"/>
    </xf>
    <xf numFmtId="0" fontId="21" fillId="12" borderId="20" xfId="1" applyFont="1" applyFill="1" applyBorder="1" applyAlignment="1">
      <alignment horizontal="center"/>
    </xf>
    <xf numFmtId="0" fontId="21" fillId="12" borderId="18" xfId="1" applyFont="1" applyFill="1" applyBorder="1" applyAlignment="1">
      <alignment horizontal="center"/>
    </xf>
    <xf numFmtId="3" fontId="20" fillId="12" borderId="12" xfId="0" applyNumberFormat="1" applyFont="1" applyFill="1" applyBorder="1" applyAlignment="1">
      <alignment horizontal="center"/>
    </xf>
    <xf numFmtId="3" fontId="20" fillId="12" borderId="13" xfId="0" applyNumberFormat="1" applyFont="1" applyFill="1" applyBorder="1" applyAlignment="1">
      <alignment horizontal="center"/>
    </xf>
    <xf numFmtId="3" fontId="20" fillId="12" borderId="14" xfId="0" applyNumberFormat="1" applyFont="1" applyFill="1" applyBorder="1" applyAlignment="1">
      <alignment horizontal="center"/>
    </xf>
    <xf numFmtId="3" fontId="22" fillId="12" borderId="21" xfId="0" applyNumberFormat="1" applyFont="1" applyFill="1" applyBorder="1" applyAlignment="1">
      <alignment horizontal="center"/>
    </xf>
    <xf numFmtId="3" fontId="22" fillId="12" borderId="0" xfId="0" applyNumberFormat="1" applyFont="1" applyFill="1" applyBorder="1" applyAlignment="1">
      <alignment horizontal="center"/>
    </xf>
    <xf numFmtId="3" fontId="22" fillId="12" borderId="22" xfId="0" applyNumberFormat="1" applyFont="1" applyFill="1" applyBorder="1" applyAlignment="1">
      <alignment horizontal="center"/>
    </xf>
    <xf numFmtId="3" fontId="21" fillId="12" borderId="20" xfId="0" applyNumberFormat="1" applyFont="1" applyFill="1" applyBorder="1" applyAlignment="1">
      <alignment horizontal="center"/>
    </xf>
    <xf numFmtId="3" fontId="21" fillId="12" borderId="18" xfId="0" applyNumberFormat="1" applyFont="1" applyFill="1" applyBorder="1" applyAlignment="1">
      <alignment horizontal="center"/>
    </xf>
    <xf numFmtId="3" fontId="21" fillId="12" borderId="19" xfId="0" applyNumberFormat="1" applyFont="1" applyFill="1" applyBorder="1" applyAlignment="1">
      <alignment horizontal="center"/>
    </xf>
    <xf numFmtId="0" fontId="18" fillId="12" borderId="22" xfId="0" applyFont="1" applyFill="1" applyBorder="1"/>
    <xf numFmtId="0" fontId="21" fillId="12" borderId="30" xfId="1" applyFont="1" applyFill="1" applyBorder="1" applyAlignment="1">
      <alignment horizontal="center"/>
    </xf>
    <xf numFmtId="3" fontId="21" fillId="12" borderId="30" xfId="0" applyNumberFormat="1" applyFont="1" applyFill="1" applyBorder="1" applyAlignment="1">
      <alignment horizontal="center"/>
    </xf>
    <xf numFmtId="0" fontId="21" fillId="13" borderId="12" xfId="1" applyFont="1" applyFill="1" applyBorder="1" applyAlignment="1">
      <alignment horizontal="centerContinuous"/>
    </xf>
    <xf numFmtId="0" fontId="20" fillId="13" borderId="13" xfId="0" applyFont="1" applyFill="1" applyBorder="1" applyAlignment="1">
      <alignment horizontal="centerContinuous"/>
    </xf>
    <xf numFmtId="0" fontId="20" fillId="13" borderId="14" xfId="1" applyFont="1" applyFill="1" applyBorder="1" applyAlignment="1">
      <alignment horizontal="centerContinuous"/>
    </xf>
    <xf numFmtId="0" fontId="21" fillId="13" borderId="20" xfId="1" applyFont="1" applyFill="1" applyBorder="1" applyAlignment="1">
      <alignment horizontal="center"/>
    </xf>
    <xf numFmtId="0" fontId="21" fillId="13" borderId="18" xfId="1" applyFont="1" applyFill="1" applyBorder="1" applyAlignment="1">
      <alignment horizontal="center"/>
    </xf>
    <xf numFmtId="0" fontId="21" fillId="13" borderId="19" xfId="1" applyFont="1" applyFill="1" applyBorder="1" applyAlignment="1">
      <alignment horizontal="center"/>
    </xf>
    <xf numFmtId="3" fontId="20" fillId="13" borderId="12" xfId="0" applyNumberFormat="1" applyFont="1" applyFill="1" applyBorder="1" applyAlignment="1">
      <alignment horizontal="center"/>
    </xf>
    <xf numFmtId="3" fontId="20" fillId="13" borderId="13" xfId="0" applyNumberFormat="1" applyFont="1" applyFill="1" applyBorder="1" applyAlignment="1">
      <alignment horizontal="center"/>
    </xf>
    <xf numFmtId="3" fontId="20" fillId="13" borderId="14" xfId="0" applyNumberFormat="1" applyFont="1" applyFill="1" applyBorder="1" applyAlignment="1">
      <alignment horizontal="center"/>
    </xf>
    <xf numFmtId="3" fontId="22" fillId="13" borderId="21" xfId="0" applyNumberFormat="1" applyFont="1" applyFill="1" applyBorder="1" applyAlignment="1">
      <alignment horizontal="center"/>
    </xf>
    <xf numFmtId="3" fontId="22" fillId="13" borderId="0" xfId="0" applyNumberFormat="1" applyFont="1" applyFill="1" applyBorder="1" applyAlignment="1">
      <alignment horizontal="center"/>
    </xf>
    <xf numFmtId="3" fontId="22" fillId="13" borderId="22" xfId="0" applyNumberFormat="1" applyFont="1" applyFill="1" applyBorder="1" applyAlignment="1">
      <alignment horizontal="center"/>
    </xf>
    <xf numFmtId="3" fontId="21" fillId="13" borderId="20" xfId="0" applyNumberFormat="1" applyFont="1" applyFill="1" applyBorder="1" applyAlignment="1">
      <alignment horizontal="center"/>
    </xf>
    <xf numFmtId="3" fontId="21" fillId="13" borderId="18" xfId="0" applyNumberFormat="1" applyFont="1" applyFill="1" applyBorder="1" applyAlignment="1">
      <alignment horizontal="center"/>
    </xf>
    <xf numFmtId="3" fontId="21" fillId="13" borderId="19" xfId="0" applyNumberFormat="1" applyFont="1" applyFill="1" applyBorder="1" applyAlignment="1">
      <alignment horizontal="center"/>
    </xf>
    <xf numFmtId="0" fontId="18" fillId="13" borderId="25" xfId="0" applyFont="1" applyFill="1" applyBorder="1"/>
    <xf numFmtId="0" fontId="21" fillId="13" borderId="30" xfId="1" applyFont="1" applyFill="1" applyBorder="1" applyAlignment="1">
      <alignment horizontal="center"/>
    </xf>
    <xf numFmtId="3" fontId="24" fillId="13" borderId="25" xfId="0" applyNumberFormat="1" applyFont="1" applyFill="1" applyBorder="1"/>
    <xf numFmtId="0" fontId="24" fillId="13" borderId="25" xfId="0" applyFont="1" applyFill="1" applyBorder="1"/>
    <xf numFmtId="0" fontId="24" fillId="13" borderId="26" xfId="0" applyFont="1" applyFill="1" applyBorder="1"/>
    <xf numFmtId="3" fontId="21" fillId="13" borderId="30" xfId="0" applyNumberFormat="1" applyFont="1" applyFill="1" applyBorder="1" applyAlignment="1">
      <alignment horizontal="center"/>
    </xf>
    <xf numFmtId="0" fontId="21" fillId="11" borderId="12" xfId="1" applyFont="1" applyFill="1" applyBorder="1" applyAlignment="1">
      <alignment horizontal="centerContinuous"/>
    </xf>
    <xf numFmtId="0" fontId="21" fillId="11" borderId="18" xfId="1" applyFont="1" applyFill="1" applyBorder="1" applyAlignment="1">
      <alignment horizontal="centerContinuous"/>
    </xf>
    <xf numFmtId="0" fontId="20" fillId="11" borderId="18" xfId="1" applyFont="1" applyFill="1" applyBorder="1" applyAlignment="1">
      <alignment horizontal="centerContinuous"/>
    </xf>
    <xf numFmtId="0" fontId="20" fillId="11" borderId="19" xfId="1" applyFont="1" applyFill="1" applyBorder="1" applyAlignment="1">
      <alignment horizontal="centerContinuous"/>
    </xf>
    <xf numFmtId="0" fontId="21" fillId="11" borderId="20" xfId="1" applyFont="1" applyFill="1" applyBorder="1" applyAlignment="1">
      <alignment horizontal="center"/>
    </xf>
    <xf numFmtId="0" fontId="21" fillId="11" borderId="18" xfId="1" applyFont="1" applyFill="1" applyBorder="1" applyAlignment="1">
      <alignment horizontal="center"/>
    </xf>
    <xf numFmtId="3" fontId="20" fillId="11" borderId="13" xfId="0" applyNumberFormat="1" applyFont="1" applyFill="1" applyBorder="1" applyAlignment="1">
      <alignment horizontal="center"/>
    </xf>
    <xf numFmtId="3" fontId="22" fillId="11" borderId="0" xfId="0" applyNumberFormat="1" applyFont="1" applyFill="1" applyBorder="1" applyAlignment="1">
      <alignment horizontal="center"/>
    </xf>
    <xf numFmtId="3" fontId="22" fillId="11" borderId="22" xfId="0" applyNumberFormat="1" applyFont="1" applyFill="1" applyBorder="1" applyAlignment="1">
      <alignment horizontal="center"/>
    </xf>
    <xf numFmtId="3" fontId="21" fillId="11" borderId="20" xfId="0" applyNumberFormat="1" applyFont="1" applyFill="1" applyBorder="1" applyAlignment="1">
      <alignment horizontal="center"/>
    </xf>
    <xf numFmtId="3" fontId="21" fillId="11" borderId="18" xfId="0" applyNumberFormat="1" applyFont="1" applyFill="1" applyBorder="1" applyAlignment="1">
      <alignment horizontal="center"/>
    </xf>
    <xf numFmtId="0" fontId="18" fillId="11" borderId="25" xfId="0" applyFont="1" applyFill="1" applyBorder="1"/>
    <xf numFmtId="0" fontId="21" fillId="11" borderId="30" xfId="1" applyFont="1" applyFill="1" applyBorder="1" applyAlignment="1">
      <alignment horizontal="center"/>
    </xf>
    <xf numFmtId="0" fontId="24" fillId="11" borderId="25" xfId="0" applyFont="1" applyFill="1" applyBorder="1"/>
    <xf numFmtId="3" fontId="21" fillId="11" borderId="30" xfId="0" applyNumberFormat="1" applyFont="1" applyFill="1" applyBorder="1" applyAlignment="1">
      <alignment horizontal="center"/>
    </xf>
    <xf numFmtId="0" fontId="3" fillId="12" borderId="0" xfId="0" applyFont="1" applyFill="1" applyBorder="1"/>
    <xf numFmtId="43" fontId="3" fillId="12" borderId="0" xfId="0" applyNumberFormat="1" applyFont="1" applyFill="1" applyAlignment="1">
      <alignment vertical="center"/>
    </xf>
    <xf numFmtId="1" fontId="3" fillId="12" borderId="0" xfId="0" applyNumberFormat="1" applyFont="1" applyFill="1" applyBorder="1" applyAlignment="1">
      <alignment horizontal="center"/>
    </xf>
    <xf numFmtId="44" fontId="3" fillId="12" borderId="5" xfId="0" applyNumberFormat="1" applyFont="1" applyFill="1" applyBorder="1" applyAlignment="1">
      <alignment horizontal="center"/>
    </xf>
    <xf numFmtId="164" fontId="3" fillId="12" borderId="5" xfId="0" applyNumberFormat="1" applyFont="1" applyFill="1" applyBorder="1" applyAlignment="1">
      <alignment horizontal="center"/>
    </xf>
    <xf numFmtId="164" fontId="3" fillId="12" borderId="4" xfId="0" applyNumberFormat="1" applyFont="1" applyFill="1" applyBorder="1" applyAlignment="1">
      <alignment horizontal="center"/>
    </xf>
    <xf numFmtId="0" fontId="3" fillId="13" borderId="0" xfId="0" applyFont="1" applyFill="1" applyBorder="1"/>
    <xf numFmtId="43" fontId="3" fillId="13" borderId="0" xfId="0" applyNumberFormat="1" applyFont="1" applyFill="1" applyAlignment="1">
      <alignment vertical="center"/>
    </xf>
    <xf numFmtId="1" fontId="3" fillId="13" borderId="0" xfId="0" applyNumberFormat="1" applyFont="1" applyFill="1" applyBorder="1" applyAlignment="1">
      <alignment horizontal="center"/>
    </xf>
    <xf numFmtId="44" fontId="3" fillId="13" borderId="5" xfId="0" applyNumberFormat="1" applyFont="1" applyFill="1" applyBorder="1" applyAlignment="1">
      <alignment horizontal="center"/>
    </xf>
    <xf numFmtId="164" fontId="3" fillId="13" borderId="5" xfId="0" applyNumberFormat="1" applyFont="1" applyFill="1" applyBorder="1" applyAlignment="1">
      <alignment horizontal="center"/>
    </xf>
    <xf numFmtId="164" fontId="3" fillId="13" borderId="4" xfId="0" applyNumberFormat="1" applyFont="1" applyFill="1" applyBorder="1" applyAlignment="1">
      <alignment horizontal="center"/>
    </xf>
    <xf numFmtId="0" fontId="3" fillId="11" borderId="0" xfId="0" applyFont="1" applyFill="1" applyBorder="1"/>
    <xf numFmtId="43" fontId="3" fillId="11" borderId="0" xfId="0" applyNumberFormat="1" applyFont="1" applyFill="1" applyAlignment="1">
      <alignment vertical="center"/>
    </xf>
    <xf numFmtId="1" fontId="3" fillId="11" borderId="0" xfId="0" applyNumberFormat="1" applyFont="1" applyFill="1" applyBorder="1" applyAlignment="1">
      <alignment horizontal="center"/>
    </xf>
    <xf numFmtId="44" fontId="3" fillId="11" borderId="5" xfId="0" applyNumberFormat="1" applyFont="1" applyFill="1" applyBorder="1" applyAlignment="1">
      <alignment horizontal="center"/>
    </xf>
    <xf numFmtId="164" fontId="3" fillId="11" borderId="5" xfId="0" applyNumberFormat="1" applyFont="1" applyFill="1" applyBorder="1" applyAlignment="1">
      <alignment horizontal="center"/>
    </xf>
    <xf numFmtId="164" fontId="3" fillId="11" borderId="4" xfId="0" applyNumberFormat="1" applyFont="1" applyFill="1" applyBorder="1" applyAlignment="1">
      <alignment horizontal="center"/>
    </xf>
    <xf numFmtId="43" fontId="3" fillId="14" borderId="0" xfId="0" applyNumberFormat="1" applyFont="1" applyFill="1" applyAlignment="1">
      <alignment vertical="center"/>
    </xf>
    <xf numFmtId="1" fontId="3" fillId="14" borderId="0" xfId="0" applyNumberFormat="1" applyFont="1" applyFill="1" applyBorder="1" applyAlignment="1">
      <alignment horizontal="center"/>
    </xf>
    <xf numFmtId="9" fontId="8" fillId="14" borderId="25" xfId="0" applyNumberFormat="1" applyFont="1" applyFill="1" applyBorder="1" applyAlignment="1"/>
    <xf numFmtId="2" fontId="3" fillId="14" borderId="3" xfId="0" applyNumberFormat="1" applyFont="1" applyFill="1" applyBorder="1" applyAlignment="1">
      <alignment horizontal="right"/>
    </xf>
    <xf numFmtId="10" fontId="8" fillId="14" borderId="16" xfId="0" applyNumberFormat="1" applyFont="1" applyFill="1" applyBorder="1" applyAlignment="1"/>
    <xf numFmtId="44" fontId="3" fillId="14" borderId="3" xfId="0" applyNumberFormat="1" applyFont="1" applyFill="1" applyBorder="1" applyAlignment="1">
      <alignment horizontal="right"/>
    </xf>
    <xf numFmtId="44" fontId="3" fillId="14" borderId="5" xfId="0" applyNumberFormat="1" applyFont="1" applyFill="1" applyBorder="1" applyAlignment="1">
      <alignment horizontal="center"/>
    </xf>
    <xf numFmtId="44" fontId="3" fillId="14" borderId="4" xfId="0" applyNumberFormat="1" applyFont="1" applyFill="1" applyBorder="1" applyAlignment="1">
      <alignment horizontal="center"/>
    </xf>
    <xf numFmtId="0" fontId="4" fillId="15" borderId="1" xfId="0" applyFont="1" applyFill="1" applyBorder="1" applyAlignment="1">
      <alignment horizontal="center"/>
    </xf>
    <xf numFmtId="0" fontId="3" fillId="15" borderId="0" xfId="0" applyFont="1" applyFill="1" applyBorder="1" applyAlignment="1">
      <alignment horizontal="center"/>
    </xf>
    <xf numFmtId="9" fontId="25" fillId="15" borderId="3" xfId="0" applyNumberFormat="1" applyFont="1" applyFill="1" applyBorder="1" applyAlignment="1">
      <alignment horizontal="center"/>
    </xf>
    <xf numFmtId="9" fontId="3" fillId="15" borderId="0" xfId="0" applyNumberFormat="1" applyFont="1" applyFill="1" applyBorder="1" applyAlignment="1">
      <alignment horizontal="center"/>
    </xf>
    <xf numFmtId="0" fontId="8" fillId="15" borderId="0" xfId="0" applyFont="1" applyFill="1" applyBorder="1" applyAlignment="1"/>
    <xf numFmtId="0" fontId="25" fillId="15" borderId="3" xfId="0" applyFont="1" applyFill="1" applyBorder="1" applyAlignment="1">
      <alignment horizontal="center"/>
    </xf>
    <xf numFmtId="10" fontId="26" fillId="15" borderId="16" xfId="0" applyNumberFormat="1" applyFont="1" applyFill="1" applyBorder="1" applyAlignment="1"/>
    <xf numFmtId="0" fontId="3" fillId="15" borderId="2" xfId="0" applyFont="1" applyFill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9" fontId="25" fillId="15" borderId="3" xfId="3" applyFont="1" applyFill="1" applyBorder="1" applyAlignment="1">
      <alignment horizontal="center"/>
    </xf>
    <xf numFmtId="0" fontId="3" fillId="15" borderId="5" xfId="0" applyFont="1" applyFill="1" applyBorder="1" applyAlignment="1">
      <alignment horizontal="center"/>
    </xf>
    <xf numFmtId="44" fontId="25" fillId="15" borderId="3" xfId="0" applyNumberFormat="1" applyFont="1" applyFill="1" applyBorder="1" applyAlignment="1">
      <alignment horizontal="center"/>
    </xf>
    <xf numFmtId="44" fontId="3" fillId="15" borderId="3" xfId="0" applyNumberFormat="1" applyFont="1" applyFill="1" applyBorder="1" applyAlignment="1">
      <alignment horizontal="center"/>
    </xf>
    <xf numFmtId="44" fontId="3" fillId="15" borderId="5" xfId="0" applyNumberFormat="1" applyFont="1" applyFill="1" applyBorder="1" applyAlignment="1">
      <alignment horizontal="center"/>
    </xf>
    <xf numFmtId="10" fontId="25" fillId="15" borderId="7" xfId="0" applyNumberFormat="1" applyFont="1" applyFill="1" applyBorder="1" applyAlignment="1">
      <alignment horizontal="center"/>
    </xf>
    <xf numFmtId="9" fontId="25" fillId="15" borderId="7" xfId="0" applyNumberFormat="1" applyFont="1" applyFill="1" applyBorder="1" applyAlignment="1">
      <alignment horizontal="center"/>
    </xf>
    <xf numFmtId="0" fontId="3" fillId="15" borderId="4" xfId="0" applyFont="1" applyFill="1" applyBorder="1" applyAlignment="1">
      <alignment horizontal="center"/>
    </xf>
    <xf numFmtId="9" fontId="25" fillId="15" borderId="0" xfId="0" applyNumberFormat="1" applyFont="1" applyFill="1" applyBorder="1" applyAlignment="1">
      <alignment horizontal="center"/>
    </xf>
    <xf numFmtId="0" fontId="26" fillId="15" borderId="0" xfId="0" applyFont="1" applyFill="1" applyBorder="1" applyAlignment="1"/>
    <xf numFmtId="44" fontId="3" fillId="0" borderId="0" xfId="0" applyNumberFormat="1" applyFont="1"/>
    <xf numFmtId="0" fontId="8" fillId="14" borderId="25" xfId="0" applyFont="1" applyFill="1" applyBorder="1" applyAlignment="1"/>
    <xf numFmtId="10" fontId="8" fillId="14" borderId="26" xfId="0" applyNumberFormat="1" applyFont="1" applyFill="1" applyBorder="1" applyAlignment="1"/>
    <xf numFmtId="9" fontId="3" fillId="14" borderId="5" xfId="3" applyFont="1" applyFill="1" applyBorder="1" applyAlignment="1">
      <alignment horizontal="center"/>
    </xf>
    <xf numFmtId="10" fontId="8" fillId="12" borderId="26" xfId="0" applyNumberFormat="1" applyFont="1" applyFill="1" applyBorder="1" applyAlignment="1"/>
    <xf numFmtId="10" fontId="8" fillId="13" borderId="26" xfId="0" applyNumberFormat="1" applyFont="1" applyFill="1" applyBorder="1" applyAlignment="1"/>
    <xf numFmtId="10" fontId="8" fillId="11" borderId="26" xfId="0" applyNumberFormat="1" applyFont="1" applyFill="1" applyBorder="1" applyAlignment="1"/>
    <xf numFmtId="0" fontId="25" fillId="15" borderId="2" xfId="0" applyFont="1" applyFill="1" applyBorder="1" applyAlignment="1">
      <alignment horizontal="center"/>
    </xf>
    <xf numFmtId="0" fontId="25" fillId="15" borderId="5" xfId="0" applyFont="1" applyFill="1" applyBorder="1" applyAlignment="1">
      <alignment horizontal="center"/>
    </xf>
    <xf numFmtId="0" fontId="25" fillId="15" borderId="4" xfId="0" applyFont="1" applyFill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18" fillId="0" borderId="0" xfId="0" applyFont="1" applyFill="1" applyAlignment="1">
      <alignment horizontal="right"/>
    </xf>
    <xf numFmtId="0" fontId="19" fillId="0" borderId="36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9" fontId="25" fillId="0" borderId="3" xfId="0" applyNumberFormat="1" applyFont="1" applyFill="1" applyBorder="1" applyAlignment="1">
      <alignment horizontal="center"/>
    </xf>
    <xf numFmtId="0" fontId="25" fillId="0" borderId="5" xfId="0" applyFont="1" applyFill="1" applyBorder="1" applyAlignment="1">
      <alignment horizontal="center"/>
    </xf>
    <xf numFmtId="9" fontId="26" fillId="15" borderId="0" xfId="0" applyNumberFormat="1" applyFont="1" applyFill="1" applyBorder="1" applyAlignment="1"/>
    <xf numFmtId="10" fontId="26" fillId="15" borderId="0" xfId="0" applyNumberFormat="1" applyFont="1" applyFill="1" applyBorder="1" applyAlignment="1"/>
    <xf numFmtId="9" fontId="3" fillId="15" borderId="3" xfId="0" applyNumberFormat="1" applyFont="1" applyFill="1" applyBorder="1" applyAlignment="1">
      <alignment horizontal="center"/>
    </xf>
    <xf numFmtId="0" fontId="3" fillId="14" borderId="0" xfId="0" applyNumberFormat="1" applyFont="1" applyFill="1" applyBorder="1" applyAlignment="1">
      <alignment horizontal="center"/>
    </xf>
    <xf numFmtId="3" fontId="8" fillId="14" borderId="25" xfId="0" applyNumberFormat="1" applyFont="1" applyFill="1" applyBorder="1" applyAlignment="1"/>
    <xf numFmtId="10" fontId="8" fillId="14" borderId="0" xfId="0" applyNumberFormat="1" applyFont="1" applyFill="1" applyBorder="1" applyAlignment="1"/>
    <xf numFmtId="2" fontId="3" fillId="11" borderId="3" xfId="0" applyNumberFormat="1" applyFont="1" applyFill="1" applyBorder="1" applyAlignment="1">
      <alignment horizontal="center"/>
    </xf>
    <xf numFmtId="0" fontId="3" fillId="11" borderId="0" xfId="0" applyNumberFormat="1" applyFont="1" applyFill="1" applyBorder="1" applyAlignment="1">
      <alignment horizontal="center"/>
    </xf>
    <xf numFmtId="3" fontId="8" fillId="11" borderId="25" xfId="0" applyNumberFormat="1" applyFont="1" applyFill="1" applyBorder="1" applyAlignment="1"/>
    <xf numFmtId="10" fontId="8" fillId="11" borderId="0" xfId="0" applyNumberFormat="1" applyFont="1" applyFill="1" applyBorder="1" applyAlignment="1"/>
    <xf numFmtId="164" fontId="3" fillId="11" borderId="3" xfId="2" applyNumberFormat="1" applyFont="1" applyFill="1" applyBorder="1" applyAlignment="1">
      <alignment horizontal="center"/>
    </xf>
    <xf numFmtId="44" fontId="3" fillId="11" borderId="3" xfId="2" applyFont="1" applyFill="1" applyBorder="1" applyAlignment="1">
      <alignment horizontal="right"/>
    </xf>
    <xf numFmtId="2" fontId="3" fillId="13" borderId="3" xfId="0" applyNumberFormat="1" applyFont="1" applyFill="1" applyBorder="1" applyAlignment="1">
      <alignment horizontal="center"/>
    </xf>
    <xf numFmtId="0" fontId="3" fillId="13" borderId="0" xfId="0" applyNumberFormat="1" applyFont="1" applyFill="1" applyBorder="1" applyAlignment="1">
      <alignment horizontal="center"/>
    </xf>
    <xf numFmtId="3" fontId="8" fillId="13" borderId="25" xfId="0" applyNumberFormat="1" applyFont="1" applyFill="1" applyBorder="1" applyAlignment="1"/>
    <xf numFmtId="10" fontId="8" fillId="13" borderId="0" xfId="0" applyNumberFormat="1" applyFont="1" applyFill="1" applyBorder="1" applyAlignment="1"/>
    <xf numFmtId="164" fontId="3" fillId="13" borderId="3" xfId="2" applyNumberFormat="1" applyFont="1" applyFill="1" applyBorder="1" applyAlignment="1">
      <alignment horizontal="center"/>
    </xf>
    <xf numFmtId="44" fontId="3" fillId="13" borderId="3" xfId="2" applyFont="1" applyFill="1" applyBorder="1" applyAlignment="1">
      <alignment horizontal="right"/>
    </xf>
    <xf numFmtId="2" fontId="3" fillId="12" borderId="3" xfId="0" applyNumberFormat="1" applyFont="1" applyFill="1" applyBorder="1" applyAlignment="1">
      <alignment horizontal="center"/>
    </xf>
    <xf numFmtId="0" fontId="3" fillId="12" borderId="0" xfId="0" applyNumberFormat="1" applyFont="1" applyFill="1" applyBorder="1" applyAlignment="1">
      <alignment horizontal="center"/>
    </xf>
    <xf numFmtId="3" fontId="8" fillId="12" borderId="25" xfId="0" applyNumberFormat="1" applyFont="1" applyFill="1" applyBorder="1" applyAlignment="1"/>
    <xf numFmtId="10" fontId="8" fillId="12" borderId="0" xfId="3" applyNumberFormat="1" applyFont="1" applyFill="1" applyBorder="1" applyAlignment="1"/>
    <xf numFmtId="10" fontId="8" fillId="12" borderId="0" xfId="0" applyNumberFormat="1" applyFont="1" applyFill="1" applyBorder="1" applyAlignment="1"/>
    <xf numFmtId="164" fontId="3" fillId="12" borderId="3" xfId="2" applyNumberFormat="1" applyFont="1" applyFill="1" applyBorder="1" applyAlignment="1">
      <alignment horizontal="center"/>
    </xf>
    <xf numFmtId="44" fontId="3" fillId="12" borderId="3" xfId="2" applyFont="1" applyFill="1" applyBorder="1" applyAlignment="1">
      <alignment horizontal="right"/>
    </xf>
    <xf numFmtId="2" fontId="3" fillId="14" borderId="3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44" fontId="25" fillId="15" borderId="1" xfId="0" applyNumberFormat="1" applyFont="1" applyFill="1" applyBorder="1" applyAlignment="1">
      <alignment horizontal="center"/>
    </xf>
    <xf numFmtId="9" fontId="25" fillId="15" borderId="3" xfId="0" applyNumberFormat="1" applyFont="1" applyFill="1" applyBorder="1" applyAlignment="1">
      <alignment horizontal="center" wrapText="1"/>
    </xf>
    <xf numFmtId="0" fontId="25" fillId="15" borderId="7" xfId="0" applyFont="1" applyFill="1" applyBorder="1" applyAlignment="1">
      <alignment horizontal="center"/>
    </xf>
    <xf numFmtId="9" fontId="25" fillId="15" borderId="5" xfId="0" applyNumberFormat="1" applyFont="1" applyFill="1" applyBorder="1" applyAlignment="1">
      <alignment horizontal="center"/>
    </xf>
    <xf numFmtId="9" fontId="25" fillId="15" borderId="2" xfId="0" applyNumberFormat="1" applyFont="1" applyFill="1" applyBorder="1" applyAlignment="1">
      <alignment horizontal="center"/>
    </xf>
    <xf numFmtId="2" fontId="8" fillId="11" borderId="25" xfId="0" applyNumberFormat="1" applyFont="1" applyFill="1" applyBorder="1" applyAlignment="1"/>
    <xf numFmtId="2" fontId="8" fillId="11" borderId="0" xfId="0" applyNumberFormat="1" applyFont="1" applyFill="1" applyBorder="1" applyAlignment="1"/>
    <xf numFmtId="44" fontId="3" fillId="11" borderId="1" xfId="2" applyFont="1" applyFill="1" applyBorder="1" applyAlignment="1">
      <alignment horizontal="center"/>
    </xf>
    <xf numFmtId="0" fontId="3" fillId="11" borderId="2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/>
    </xf>
    <xf numFmtId="2" fontId="8" fillId="14" borderId="25" xfId="0" applyNumberFormat="1" applyFont="1" applyFill="1" applyBorder="1" applyAlignment="1"/>
    <xf numFmtId="2" fontId="8" fillId="14" borderId="0" xfId="0" applyNumberFormat="1" applyFont="1" applyFill="1" applyBorder="1" applyAlignment="1"/>
    <xf numFmtId="44" fontId="3" fillId="14" borderId="1" xfId="2" applyFont="1" applyFill="1" applyBorder="1" applyAlignment="1">
      <alignment horizontal="center"/>
    </xf>
    <xf numFmtId="0" fontId="3" fillId="14" borderId="7" xfId="0" applyFont="1" applyFill="1" applyBorder="1" applyAlignment="1">
      <alignment horizontal="center"/>
    </xf>
    <xf numFmtId="2" fontId="8" fillId="12" borderId="25" xfId="0" applyNumberFormat="1" applyFont="1" applyFill="1" applyBorder="1" applyAlignment="1"/>
    <xf numFmtId="2" fontId="8" fillId="12" borderId="0" xfId="0" applyNumberFormat="1" applyFont="1" applyFill="1" applyBorder="1" applyAlignment="1"/>
    <xf numFmtId="44" fontId="3" fillId="12" borderId="1" xfId="2" applyFont="1" applyFill="1" applyBorder="1" applyAlignment="1">
      <alignment horizontal="center"/>
    </xf>
    <xf numFmtId="0" fontId="3" fillId="12" borderId="3" xfId="0" applyFont="1" applyFill="1" applyBorder="1" applyAlignment="1">
      <alignment horizontal="center"/>
    </xf>
    <xf numFmtId="0" fontId="3" fillId="12" borderId="2" xfId="0" applyFont="1" applyFill="1" applyBorder="1" applyAlignment="1">
      <alignment horizontal="center"/>
    </xf>
    <xf numFmtId="2" fontId="8" fillId="13" borderId="25" xfId="0" applyNumberFormat="1" applyFont="1" applyFill="1" applyBorder="1" applyAlignment="1"/>
    <xf numFmtId="2" fontId="8" fillId="13" borderId="0" xfId="0" applyNumberFormat="1" applyFont="1" applyFill="1" applyBorder="1" applyAlignment="1"/>
    <xf numFmtId="44" fontId="3" fillId="13" borderId="1" xfId="2" applyFont="1" applyFill="1" applyBorder="1" applyAlignment="1">
      <alignment horizontal="center"/>
    </xf>
    <xf numFmtId="0" fontId="3" fillId="13" borderId="3" xfId="0" applyFont="1" applyFill="1" applyBorder="1" applyAlignment="1">
      <alignment horizontal="center"/>
    </xf>
    <xf numFmtId="0" fontId="3" fillId="13" borderId="2" xfId="0" applyFont="1" applyFill="1" applyBorder="1" applyAlignment="1">
      <alignment horizontal="center"/>
    </xf>
    <xf numFmtId="9" fontId="3" fillId="0" borderId="5" xfId="3" applyFont="1" applyFill="1" applyBorder="1" applyAlignment="1">
      <alignment horizontal="center"/>
    </xf>
    <xf numFmtId="9" fontId="3" fillId="15" borderId="1" xfId="0" applyNumberFormat="1" applyFont="1" applyFill="1" applyBorder="1" applyAlignment="1">
      <alignment horizontal="center"/>
    </xf>
    <xf numFmtId="44" fontId="3" fillId="0" borderId="0" xfId="2" applyFont="1"/>
    <xf numFmtId="44" fontId="3" fillId="12" borderId="4" xfId="2" applyFont="1" applyFill="1" applyBorder="1" applyAlignment="1">
      <alignment horizontal="center"/>
    </xf>
    <xf numFmtId="0" fontId="3" fillId="12" borderId="1" xfId="0" applyFont="1" applyFill="1" applyBorder="1"/>
    <xf numFmtId="44" fontId="3" fillId="11" borderId="4" xfId="2" applyFont="1" applyFill="1" applyBorder="1" applyAlignment="1">
      <alignment horizontal="center"/>
    </xf>
    <xf numFmtId="0" fontId="3" fillId="11" borderId="1" xfId="0" applyFont="1" applyFill="1" applyBorder="1"/>
    <xf numFmtId="44" fontId="3" fillId="13" borderId="4" xfId="2" applyFont="1" applyFill="1" applyBorder="1" applyAlignment="1">
      <alignment horizontal="center"/>
    </xf>
    <xf numFmtId="0" fontId="3" fillId="13" borderId="1" xfId="0" applyFont="1" applyFill="1" applyBorder="1"/>
    <xf numFmtId="44" fontId="3" fillId="14" borderId="4" xfId="2" applyFont="1" applyFill="1" applyBorder="1" applyAlignment="1">
      <alignment horizontal="center"/>
    </xf>
    <xf numFmtId="8" fontId="3" fillId="14" borderId="1" xfId="0" applyNumberFormat="1" applyFont="1" applyFill="1" applyBorder="1" applyAlignment="1">
      <alignment horizontal="center"/>
    </xf>
    <xf numFmtId="0" fontId="3" fillId="14" borderId="1" xfId="0" applyFont="1" applyFill="1" applyBorder="1" applyAlignment="1">
      <alignment horizontal="center"/>
    </xf>
    <xf numFmtId="43" fontId="13" fillId="0" borderId="0" xfId="1" applyNumberFormat="1" applyFont="1"/>
    <xf numFmtId="0" fontId="14" fillId="11" borderId="1" xfId="1" applyFont="1" applyFill="1" applyBorder="1" applyAlignment="1">
      <alignment horizontal="center"/>
    </xf>
    <xf numFmtId="164" fontId="13" fillId="11" borderId="0" xfId="1" applyNumberFormat="1" applyFont="1" applyFill="1" applyBorder="1" applyAlignment="1">
      <alignment horizontal="center"/>
    </xf>
    <xf numFmtId="0" fontId="13" fillId="11" borderId="0" xfId="1" applyFont="1" applyFill="1" applyBorder="1"/>
    <xf numFmtId="0" fontId="14" fillId="13" borderId="1" xfId="1" applyFont="1" applyFill="1" applyBorder="1" applyAlignment="1">
      <alignment horizontal="center"/>
    </xf>
    <xf numFmtId="164" fontId="13" fillId="13" borderId="0" xfId="1" applyNumberFormat="1" applyFont="1" applyFill="1" applyBorder="1" applyAlignment="1">
      <alignment horizontal="center"/>
    </xf>
    <xf numFmtId="0" fontId="13" fillId="13" borderId="0" xfId="1" applyFont="1" applyFill="1" applyBorder="1"/>
    <xf numFmtId="0" fontId="14" fillId="12" borderId="1" xfId="1" applyFont="1" applyFill="1" applyBorder="1" applyAlignment="1">
      <alignment horizontal="center"/>
    </xf>
    <xf numFmtId="164" fontId="13" fillId="12" borderId="0" xfId="1" applyNumberFormat="1" applyFont="1" applyFill="1" applyBorder="1" applyAlignment="1">
      <alignment horizontal="center"/>
    </xf>
    <xf numFmtId="0" fontId="13" fillId="12" borderId="0" xfId="1" applyFont="1" applyFill="1" applyBorder="1"/>
    <xf numFmtId="0" fontId="1" fillId="0" borderId="0" xfId="0" applyFont="1" applyFill="1"/>
    <xf numFmtId="166" fontId="26" fillId="12" borderId="31" xfId="4" applyNumberFormat="1" applyFont="1" applyFill="1" applyBorder="1"/>
    <xf numFmtId="166" fontId="26" fillId="13" borderId="31" xfId="4" applyNumberFormat="1" applyFont="1" applyFill="1" applyBorder="1"/>
    <xf numFmtId="166" fontId="26" fillId="11" borderId="31" xfId="4" applyNumberFormat="1" applyFont="1" applyFill="1" applyBorder="1"/>
    <xf numFmtId="44" fontId="3" fillId="0" borderId="1" xfId="2" applyFont="1" applyFill="1" applyBorder="1" applyAlignment="1">
      <alignment horizontal="center"/>
    </xf>
    <xf numFmtId="43" fontId="3" fillId="14" borderId="2" xfId="0" applyNumberFormat="1" applyFont="1" applyFill="1" applyBorder="1" applyAlignment="1">
      <alignment horizontal="center"/>
    </xf>
    <xf numFmtId="43" fontId="3" fillId="14" borderId="3" xfId="0" applyNumberFormat="1" applyFont="1" applyFill="1" applyBorder="1" applyAlignment="1">
      <alignment horizontal="right"/>
    </xf>
    <xf numFmtId="44" fontId="3" fillId="14" borderId="3" xfId="2" applyFont="1" applyFill="1" applyBorder="1" applyAlignment="1">
      <alignment horizontal="center" wrapText="1"/>
    </xf>
    <xf numFmtId="44" fontId="3" fillId="14" borderId="7" xfId="2" applyFont="1" applyFill="1" applyBorder="1" applyAlignment="1">
      <alignment horizontal="center" wrapText="1"/>
    </xf>
    <xf numFmtId="43" fontId="3" fillId="12" borderId="2" xfId="0" applyNumberFormat="1" applyFont="1" applyFill="1" applyBorder="1" applyAlignment="1">
      <alignment horizontal="center"/>
    </xf>
    <xf numFmtId="43" fontId="3" fillId="12" borderId="3" xfId="0" applyNumberFormat="1" applyFont="1" applyFill="1" applyBorder="1" applyAlignment="1">
      <alignment horizontal="right"/>
    </xf>
    <xf numFmtId="6" fontId="3" fillId="12" borderId="5" xfId="0" applyNumberFormat="1" applyFont="1" applyFill="1" applyBorder="1" applyAlignment="1">
      <alignment horizontal="right"/>
    </xf>
    <xf numFmtId="44" fontId="3" fillId="12" borderId="3" xfId="2" applyFont="1" applyFill="1" applyBorder="1" applyAlignment="1">
      <alignment horizontal="right" wrapText="1"/>
    </xf>
    <xf numFmtId="44" fontId="3" fillId="12" borderId="7" xfId="2" applyFont="1" applyFill="1" applyBorder="1" applyAlignment="1">
      <alignment horizontal="right" wrapText="1"/>
    </xf>
    <xf numFmtId="44" fontId="3" fillId="12" borderId="7" xfId="2" applyFont="1" applyFill="1" applyBorder="1" applyAlignment="1">
      <alignment horizontal="center"/>
    </xf>
    <xf numFmtId="43" fontId="3" fillId="13" borderId="2" xfId="0" applyNumberFormat="1" applyFont="1" applyFill="1" applyBorder="1" applyAlignment="1">
      <alignment horizontal="center"/>
    </xf>
    <xf numFmtId="43" fontId="3" fillId="13" borderId="3" xfId="0" applyNumberFormat="1" applyFont="1" applyFill="1" applyBorder="1" applyAlignment="1">
      <alignment horizontal="right"/>
    </xf>
    <xf numFmtId="6" fontId="3" fillId="13" borderId="5" xfId="0" applyNumberFormat="1" applyFont="1" applyFill="1" applyBorder="1" applyAlignment="1">
      <alignment horizontal="right"/>
    </xf>
    <xf numFmtId="9" fontId="3" fillId="13" borderId="3" xfId="0" applyNumberFormat="1" applyFont="1" applyFill="1" applyBorder="1" applyAlignment="1">
      <alignment horizontal="right"/>
    </xf>
    <xf numFmtId="43" fontId="3" fillId="11" borderId="2" xfId="0" applyNumberFormat="1" applyFont="1" applyFill="1" applyBorder="1" applyAlignment="1">
      <alignment horizontal="center"/>
    </xf>
    <xf numFmtId="43" fontId="3" fillId="11" borderId="3" xfId="0" applyNumberFormat="1" applyFont="1" applyFill="1" applyBorder="1" applyAlignment="1">
      <alignment horizontal="right"/>
    </xf>
    <xf numFmtId="6" fontId="3" fillId="11" borderId="5" xfId="0" applyNumberFormat="1" applyFont="1" applyFill="1" applyBorder="1" applyAlignment="1">
      <alignment horizontal="right"/>
    </xf>
    <xf numFmtId="0" fontId="3" fillId="0" borderId="42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44" fontId="13" fillId="12" borderId="0" xfId="1" applyNumberFormat="1" applyFont="1" applyFill="1" applyBorder="1" applyAlignment="1">
      <alignment horizontal="center"/>
    </xf>
    <xf numFmtId="0" fontId="13" fillId="12" borderId="22" xfId="1" applyFont="1" applyFill="1" applyBorder="1" applyAlignment="1">
      <alignment horizontal="center"/>
    </xf>
    <xf numFmtId="44" fontId="13" fillId="13" borderId="0" xfId="1" applyNumberFormat="1" applyFont="1" applyFill="1" applyBorder="1" applyAlignment="1">
      <alignment horizontal="center"/>
    </xf>
    <xf numFmtId="0" fontId="13" fillId="13" borderId="22" xfId="1" applyFont="1" applyFill="1" applyBorder="1" applyAlignment="1">
      <alignment horizontal="center"/>
    </xf>
    <xf numFmtId="44" fontId="13" fillId="11" borderId="0" xfId="1" applyNumberFormat="1" applyFont="1" applyFill="1" applyBorder="1" applyAlignment="1">
      <alignment horizontal="center"/>
    </xf>
    <xf numFmtId="0" fontId="13" fillId="11" borderId="22" xfId="1" applyFont="1" applyFill="1" applyBorder="1" applyAlignment="1">
      <alignment horizontal="center"/>
    </xf>
    <xf numFmtId="0" fontId="13" fillId="11" borderId="22" xfId="0" applyFont="1" applyFill="1" applyBorder="1" applyAlignment="1">
      <alignment horizontal="center"/>
    </xf>
    <xf numFmtId="0" fontId="13" fillId="13" borderId="22" xfId="0" applyFont="1" applyFill="1" applyBorder="1" applyAlignment="1">
      <alignment horizontal="center"/>
    </xf>
    <xf numFmtId="0" fontId="13" fillId="0" borderId="42" xfId="1" applyFont="1" applyBorder="1" applyAlignment="1"/>
    <xf numFmtId="0" fontId="11" fillId="2" borderId="12" xfId="1" applyFont="1" applyFill="1" applyBorder="1" applyAlignment="1">
      <alignment vertical="center"/>
    </xf>
    <xf numFmtId="0" fontId="11" fillId="2" borderId="13" xfId="1" applyFont="1" applyFill="1" applyBorder="1" applyAlignment="1">
      <alignment vertical="center"/>
    </xf>
    <xf numFmtId="0" fontId="12" fillId="2" borderId="13" xfId="1" applyFont="1" applyFill="1" applyBorder="1" applyAlignment="1">
      <alignment vertical="center"/>
    </xf>
    <xf numFmtId="0" fontId="12" fillId="2" borderId="14" xfId="1" applyFont="1" applyFill="1" applyBorder="1" applyAlignment="1">
      <alignment vertical="center"/>
    </xf>
    <xf numFmtId="3" fontId="13" fillId="0" borderId="3" xfId="1" applyNumberFormat="1" applyFont="1" applyFill="1" applyBorder="1"/>
    <xf numFmtId="0" fontId="14" fillId="11" borderId="29" xfId="1" applyFont="1" applyFill="1" applyBorder="1" applyAlignment="1">
      <alignment horizontal="center"/>
    </xf>
    <xf numFmtId="0" fontId="13" fillId="2" borderId="13" xfId="1" applyFont="1" applyFill="1" applyBorder="1" applyAlignment="1">
      <alignment vertical="center"/>
    </xf>
    <xf numFmtId="0" fontId="11" fillId="2" borderId="58" xfId="1" applyFont="1" applyFill="1" applyBorder="1" applyAlignment="1">
      <alignment horizontal="right" vertical="center"/>
    </xf>
    <xf numFmtId="164" fontId="13" fillId="11" borderId="22" xfId="1" applyNumberFormat="1" applyFont="1" applyFill="1" applyBorder="1" applyAlignment="1">
      <alignment horizontal="center"/>
    </xf>
    <xf numFmtId="0" fontId="13" fillId="11" borderId="22" xfId="1" applyFont="1" applyFill="1" applyBorder="1"/>
    <xf numFmtId="0" fontId="13" fillId="0" borderId="0" xfId="1" applyFont="1" applyFill="1" applyBorder="1"/>
    <xf numFmtId="0" fontId="11" fillId="0" borderId="0" xfId="1" applyFont="1" applyFill="1" applyBorder="1" applyAlignment="1">
      <alignment vertical="center"/>
    </xf>
    <xf numFmtId="0" fontId="3" fillId="0" borderId="0" xfId="0" applyFont="1" applyAlignment="1">
      <alignment horizontal="right"/>
    </xf>
    <xf numFmtId="0" fontId="11" fillId="2" borderId="14" xfId="1" applyFont="1" applyFill="1" applyBorder="1" applyAlignment="1">
      <alignment vertical="center"/>
    </xf>
    <xf numFmtId="0" fontId="3" fillId="0" borderId="16" xfId="0" applyFont="1" applyBorder="1"/>
    <xf numFmtId="0" fontId="3" fillId="0" borderId="59" xfId="0" applyFont="1" applyBorder="1"/>
    <xf numFmtId="0" fontId="3" fillId="0" borderId="6" xfId="0" applyFont="1" applyBorder="1"/>
    <xf numFmtId="0" fontId="3" fillId="0" borderId="57" xfId="0" applyFont="1" applyBorder="1"/>
    <xf numFmtId="0" fontId="3" fillId="0" borderId="60" xfId="0" applyFont="1" applyBorder="1" applyAlignment="1">
      <alignment horizontal="right"/>
    </xf>
    <xf numFmtId="0" fontId="3" fillId="0" borderId="61" xfId="0" applyFont="1" applyBorder="1" applyAlignment="1">
      <alignment horizontal="right"/>
    </xf>
    <xf numFmtId="0" fontId="3" fillId="0" borderId="62" xfId="0" applyFont="1" applyBorder="1" applyAlignment="1">
      <alignment horizontal="right"/>
    </xf>
    <xf numFmtId="0" fontId="3" fillId="0" borderId="62" xfId="0" applyFont="1" applyBorder="1"/>
    <xf numFmtId="0" fontId="3" fillId="0" borderId="61" xfId="0" applyFont="1" applyBorder="1"/>
    <xf numFmtId="0" fontId="3" fillId="0" borderId="63" xfId="0" applyFont="1" applyBorder="1" applyAlignment="1">
      <alignment horizontal="right"/>
    </xf>
    <xf numFmtId="164" fontId="3" fillId="0" borderId="22" xfId="0" applyNumberFormat="1" applyFont="1" applyBorder="1"/>
    <xf numFmtId="164" fontId="4" fillId="0" borderId="30" xfId="0" applyNumberFormat="1" applyFont="1" applyBorder="1"/>
    <xf numFmtId="164" fontId="3" fillId="0" borderId="29" xfId="0" applyNumberFormat="1" applyFont="1" applyBorder="1"/>
    <xf numFmtId="164" fontId="3" fillId="0" borderId="22" xfId="2" applyNumberFormat="1" applyFont="1" applyBorder="1"/>
    <xf numFmtId="164" fontId="4" fillId="0" borderId="30" xfId="2" applyNumberFormat="1" applyFont="1" applyBorder="1"/>
    <xf numFmtId="164" fontId="13" fillId="12" borderId="0" xfId="1" applyNumberFormat="1" applyFont="1" applyFill="1" applyBorder="1"/>
    <xf numFmtId="164" fontId="13" fillId="13" borderId="0" xfId="1" applyNumberFormat="1" applyFont="1" applyFill="1" applyBorder="1"/>
    <xf numFmtId="164" fontId="13" fillId="11" borderId="0" xfId="1" applyNumberFormat="1" applyFont="1" applyFill="1" applyBorder="1"/>
    <xf numFmtId="164" fontId="3" fillId="0" borderId="0" xfId="0" applyNumberFormat="1" applyFont="1"/>
    <xf numFmtId="0" fontId="0" fillId="0" borderId="0" xfId="0" applyBorder="1"/>
    <xf numFmtId="42" fontId="13" fillId="12" borderId="16" xfId="1" applyNumberFormat="1" applyFont="1" applyFill="1" applyBorder="1" applyAlignment="1">
      <alignment horizontal="center"/>
    </xf>
    <xf numFmtId="42" fontId="13" fillId="13" borderId="16" xfId="1" applyNumberFormat="1" applyFont="1" applyFill="1" applyBorder="1" applyAlignment="1">
      <alignment horizontal="center"/>
    </xf>
    <xf numFmtId="42" fontId="13" fillId="11" borderId="16" xfId="1" applyNumberFormat="1" applyFont="1" applyFill="1" applyBorder="1" applyAlignment="1">
      <alignment horizontal="center"/>
    </xf>
    <xf numFmtId="42" fontId="13" fillId="11" borderId="17" xfId="1" applyNumberFormat="1" applyFont="1" applyFill="1" applyBorder="1" applyAlignment="1">
      <alignment horizontal="center"/>
    </xf>
    <xf numFmtId="6" fontId="13" fillId="15" borderId="17" xfId="1" applyNumberFormat="1" applyFont="1" applyFill="1" applyBorder="1"/>
    <xf numFmtId="0" fontId="14" fillId="0" borderId="0" xfId="1" applyFont="1" applyFill="1" applyBorder="1"/>
    <xf numFmtId="41" fontId="10" fillId="0" borderId="0" xfId="1" applyNumberFormat="1" applyFont="1" applyFill="1" applyBorder="1"/>
    <xf numFmtId="42" fontId="9" fillId="0" borderId="0" xfId="1" applyNumberFormat="1" applyFont="1" applyFill="1" applyBorder="1"/>
    <xf numFmtId="0" fontId="9" fillId="5" borderId="12" xfId="0" applyFont="1" applyFill="1" applyBorder="1" applyAlignment="1">
      <alignment horizontal="left" vertical="center"/>
    </xf>
    <xf numFmtId="0" fontId="9" fillId="5" borderId="14" xfId="0" applyFont="1" applyFill="1" applyBorder="1" applyAlignment="1">
      <alignment horizontal="center" vertical="center"/>
    </xf>
    <xf numFmtId="0" fontId="10" fillId="0" borderId="61" xfId="0" applyFont="1" applyFill="1" applyBorder="1"/>
    <xf numFmtId="0" fontId="10" fillId="0" borderId="61" xfId="1" applyFont="1" applyFill="1" applyBorder="1"/>
    <xf numFmtId="0" fontId="9" fillId="0" borderId="61" xfId="1" applyFont="1" applyFill="1" applyBorder="1"/>
    <xf numFmtId="0" fontId="9" fillId="0" borderId="63" xfId="1" applyFont="1" applyFill="1" applyBorder="1"/>
    <xf numFmtId="0" fontId="9" fillId="0" borderId="64" xfId="0" applyFont="1" applyFill="1" applyBorder="1"/>
    <xf numFmtId="0" fontId="9" fillId="0" borderId="63" xfId="0" applyFont="1" applyFill="1" applyBorder="1"/>
    <xf numFmtId="0" fontId="21" fillId="5" borderId="23" xfId="0" applyFont="1" applyFill="1" applyBorder="1"/>
    <xf numFmtId="0" fontId="20" fillId="12" borderId="14" xfId="1" applyFont="1" applyFill="1" applyBorder="1" applyAlignment="1">
      <alignment horizontal="centerContinuous"/>
    </xf>
    <xf numFmtId="0" fontId="21" fillId="12" borderId="19" xfId="1" applyFont="1" applyFill="1" applyBorder="1" applyAlignment="1">
      <alignment horizontal="center"/>
    </xf>
    <xf numFmtId="0" fontId="21" fillId="14" borderId="27" xfId="1" applyFont="1" applyFill="1" applyBorder="1" applyAlignment="1">
      <alignment horizontal="center"/>
    </xf>
    <xf numFmtId="0" fontId="21" fillId="14" borderId="30" xfId="1" applyFont="1" applyFill="1" applyBorder="1" applyAlignment="1">
      <alignment horizontal="center"/>
    </xf>
    <xf numFmtId="3" fontId="20" fillId="14" borderId="27" xfId="0" applyNumberFormat="1" applyFont="1" applyFill="1" applyBorder="1" applyAlignment="1">
      <alignment horizontal="center"/>
    </xf>
    <xf numFmtId="3" fontId="22" fillId="14" borderId="25" xfId="0" applyNumberFormat="1" applyFont="1" applyFill="1" applyBorder="1" applyAlignment="1">
      <alignment horizontal="center"/>
    </xf>
    <xf numFmtId="3" fontId="21" fillId="14" borderId="30" xfId="0" applyNumberFormat="1" applyFont="1" applyFill="1" applyBorder="1" applyAlignment="1">
      <alignment horizontal="center"/>
    </xf>
    <xf numFmtId="0" fontId="21" fillId="11" borderId="13" xfId="1" applyFont="1" applyFill="1" applyBorder="1" applyAlignment="1">
      <alignment horizontal="centerContinuous"/>
    </xf>
    <xf numFmtId="0" fontId="18" fillId="12" borderId="27" xfId="0" applyFont="1" applyFill="1" applyBorder="1"/>
    <xf numFmtId="0" fontId="18" fillId="13" borderId="27" xfId="0" applyFont="1" applyFill="1" applyBorder="1"/>
    <xf numFmtId="0" fontId="18" fillId="11" borderId="27" xfId="0" applyFont="1" applyFill="1" applyBorder="1"/>
    <xf numFmtId="0" fontId="1" fillId="0" borderId="13" xfId="0" applyFont="1" applyBorder="1"/>
    <xf numFmtId="0" fontId="1" fillId="0" borderId="13" xfId="0" applyFont="1" applyFill="1" applyBorder="1"/>
    <xf numFmtId="0" fontId="1" fillId="0" borderId="27" xfId="0" applyFont="1" applyBorder="1"/>
    <xf numFmtId="0" fontId="1" fillId="0" borderId="14" xfId="0" applyFont="1" applyBorder="1"/>
    <xf numFmtId="0" fontId="9" fillId="7" borderId="25" xfId="0" applyFont="1" applyFill="1" applyBorder="1"/>
    <xf numFmtId="0" fontId="9" fillId="5" borderId="30" xfId="0" applyFont="1" applyFill="1" applyBorder="1"/>
    <xf numFmtId="0" fontId="9" fillId="0" borderId="0" xfId="0" applyFont="1"/>
    <xf numFmtId="166" fontId="3" fillId="5" borderId="22" xfId="4" applyNumberFormat="1" applyFont="1" applyFill="1" applyBorder="1"/>
    <xf numFmtId="0" fontId="3" fillId="5" borderId="22" xfId="0" applyFont="1" applyFill="1" applyBorder="1"/>
    <xf numFmtId="166" fontId="3" fillId="5" borderId="22" xfId="0" applyNumberFormat="1" applyFont="1" applyFill="1" applyBorder="1"/>
    <xf numFmtId="0" fontId="9" fillId="5" borderId="22" xfId="0" applyFont="1" applyFill="1" applyBorder="1"/>
    <xf numFmtId="166" fontId="9" fillId="5" borderId="22" xfId="0" applyNumberFormat="1" applyFont="1" applyFill="1" applyBorder="1"/>
    <xf numFmtId="166" fontId="34" fillId="12" borderId="31" xfId="4" applyNumberFormat="1" applyFont="1" applyFill="1" applyBorder="1"/>
    <xf numFmtId="166" fontId="34" fillId="13" borderId="31" xfId="4" applyNumberFormat="1" applyFont="1" applyFill="1" applyBorder="1"/>
    <xf numFmtId="166" fontId="34" fillId="11" borderId="31" xfId="4" applyNumberFormat="1" applyFont="1" applyFill="1" applyBorder="1"/>
    <xf numFmtId="166" fontId="1" fillId="12" borderId="31" xfId="4" applyNumberFormat="1" applyFont="1" applyFill="1" applyBorder="1"/>
    <xf numFmtId="166" fontId="1" fillId="13" borderId="31" xfId="4" applyNumberFormat="1" applyFont="1" applyFill="1" applyBorder="1"/>
    <xf numFmtId="166" fontId="1" fillId="11" borderId="31" xfId="4" applyNumberFormat="1" applyFont="1" applyFill="1" applyBorder="1"/>
    <xf numFmtId="166" fontId="1" fillId="15" borderId="31" xfId="4" applyNumberFormat="1" applyFont="1" applyFill="1" applyBorder="1"/>
    <xf numFmtId="166" fontId="25" fillId="13" borderId="31" xfId="4" applyNumberFormat="1" applyFont="1" applyFill="1" applyBorder="1"/>
    <xf numFmtId="43" fontId="3" fillId="0" borderId="0" xfId="0" applyNumberFormat="1" applyFont="1"/>
    <xf numFmtId="166" fontId="3" fillId="13" borderId="31" xfId="4" applyNumberFormat="1" applyFont="1" applyFill="1" applyBorder="1"/>
    <xf numFmtId="166" fontId="3" fillId="12" borderId="31" xfId="4" applyNumberFormat="1" applyFont="1" applyFill="1" applyBorder="1"/>
    <xf numFmtId="166" fontId="3" fillId="11" borderId="31" xfId="4" applyNumberFormat="1" applyFont="1" applyFill="1" applyBorder="1"/>
    <xf numFmtId="166" fontId="25" fillId="12" borderId="31" xfId="4" applyNumberFormat="1" applyFont="1" applyFill="1" applyBorder="1"/>
    <xf numFmtId="166" fontId="25" fillId="11" borderId="31" xfId="4" applyNumberFormat="1" applyFont="1" applyFill="1" applyBorder="1"/>
    <xf numFmtId="166" fontId="36" fillId="12" borderId="31" xfId="4" applyNumberFormat="1" applyFont="1" applyFill="1" applyBorder="1"/>
    <xf numFmtId="0" fontId="9" fillId="0" borderId="0" xfId="0" applyFont="1" applyAlignment="1">
      <alignment wrapText="1"/>
    </xf>
    <xf numFmtId="166" fontId="9" fillId="0" borderId="0" xfId="0" applyNumberFormat="1" applyFont="1" applyFill="1" applyBorder="1"/>
    <xf numFmtId="166" fontId="34" fillId="0" borderId="22" xfId="0" applyNumberFormat="1" applyFont="1" applyBorder="1"/>
    <xf numFmtId="0" fontId="34" fillId="16" borderId="0" xfId="0" applyFont="1" applyFill="1" applyAlignment="1">
      <alignment wrapText="1"/>
    </xf>
    <xf numFmtId="166" fontId="1" fillId="0" borderId="0" xfId="4" applyNumberFormat="1" applyFont="1"/>
    <xf numFmtId="166" fontId="1" fillId="0" borderId="0" xfId="0" applyNumberFormat="1" applyFont="1"/>
    <xf numFmtId="167" fontId="1" fillId="0" borderId="22" xfId="0" applyNumberFormat="1" applyFont="1" applyBorder="1"/>
    <xf numFmtId="9" fontId="1" fillId="0" borderId="0" xfId="3" applyFont="1"/>
    <xf numFmtId="167" fontId="34" fillId="0" borderId="17" xfId="0" applyNumberFormat="1" applyFont="1" applyBorder="1"/>
    <xf numFmtId="0" fontId="9" fillId="7" borderId="21" xfId="0" applyFont="1" applyFill="1" applyBorder="1"/>
    <xf numFmtId="0" fontId="9" fillId="7" borderId="21" xfId="0" applyFont="1" applyFill="1" applyBorder="1" applyAlignment="1">
      <alignment wrapText="1"/>
    </xf>
    <xf numFmtId="0" fontId="9" fillId="15" borderId="21" xfId="0" applyFont="1" applyFill="1" applyBorder="1" applyAlignment="1">
      <alignment wrapText="1"/>
    </xf>
    <xf numFmtId="0" fontId="3" fillId="0" borderId="21" xfId="0" applyFont="1" applyFill="1" applyBorder="1"/>
    <xf numFmtId="0" fontId="9" fillId="8" borderId="21" xfId="0" applyFont="1" applyFill="1" applyBorder="1" applyAlignment="1">
      <alignment wrapText="1"/>
    </xf>
    <xf numFmtId="0" fontId="9" fillId="6" borderId="21" xfId="0" applyFont="1" applyFill="1" applyBorder="1" applyAlignment="1">
      <alignment wrapText="1"/>
    </xf>
    <xf numFmtId="0" fontId="9" fillId="4" borderId="21" xfId="0" applyFont="1" applyFill="1" applyBorder="1" applyAlignment="1">
      <alignment wrapText="1"/>
    </xf>
    <xf numFmtId="0" fontId="9" fillId="18" borderId="21" xfId="0" applyFont="1" applyFill="1" applyBorder="1" applyAlignment="1">
      <alignment wrapText="1"/>
    </xf>
    <xf numFmtId="0" fontId="9" fillId="9" borderId="21" xfId="0" applyFont="1" applyFill="1" applyBorder="1" applyAlignment="1">
      <alignment wrapText="1"/>
    </xf>
    <xf numFmtId="0" fontId="9" fillId="19" borderId="21" xfId="0" applyFont="1" applyFill="1" applyBorder="1" applyAlignment="1">
      <alignment wrapText="1"/>
    </xf>
    <xf numFmtId="0" fontId="9" fillId="10" borderId="21" xfId="0" applyFont="1" applyFill="1" applyBorder="1" applyAlignment="1">
      <alignment wrapText="1"/>
    </xf>
    <xf numFmtId="0" fontId="35" fillId="10" borderId="21" xfId="0" applyFont="1" applyFill="1" applyBorder="1" applyAlignment="1">
      <alignment wrapText="1"/>
    </xf>
    <xf numFmtId="0" fontId="3" fillId="20" borderId="21" xfId="0" applyFont="1" applyFill="1" applyBorder="1" applyAlignment="1">
      <alignment wrapText="1"/>
    </xf>
    <xf numFmtId="0" fontId="34" fillId="17" borderId="21" xfId="0" applyFont="1" applyFill="1" applyBorder="1" applyAlignment="1">
      <alignment wrapText="1"/>
    </xf>
    <xf numFmtId="0" fontId="34" fillId="17" borderId="15" xfId="0" applyFont="1" applyFill="1" applyBorder="1" applyAlignment="1">
      <alignment wrapText="1"/>
    </xf>
    <xf numFmtId="0" fontId="9" fillId="12" borderId="13" xfId="0" applyFont="1" applyFill="1" applyBorder="1"/>
    <xf numFmtId="0" fontId="29" fillId="12" borderId="13" xfId="0" applyFont="1" applyFill="1" applyBorder="1" applyAlignment="1">
      <alignment horizontal="right"/>
    </xf>
    <xf numFmtId="0" fontId="9" fillId="13" borderId="13" xfId="0" applyFont="1" applyFill="1" applyBorder="1"/>
    <xf numFmtId="0" fontId="29" fillId="13" borderId="13" xfId="0" applyFont="1" applyFill="1" applyBorder="1" applyAlignment="1">
      <alignment horizontal="right"/>
    </xf>
    <xf numFmtId="0" fontId="9" fillId="11" borderId="13" xfId="0" applyFont="1" applyFill="1" applyBorder="1"/>
    <xf numFmtId="0" fontId="9" fillId="12" borderId="14" xfId="0" applyFont="1" applyFill="1" applyBorder="1"/>
    <xf numFmtId="0" fontId="9" fillId="15" borderId="14" xfId="0" applyFont="1" applyFill="1" applyBorder="1"/>
    <xf numFmtId="0" fontId="26" fillId="13" borderId="31" xfId="0" applyFont="1" applyFill="1" applyBorder="1"/>
    <xf numFmtId="166" fontId="26" fillId="15" borderId="31" xfId="4" applyNumberFormat="1" applyFont="1" applyFill="1" applyBorder="1"/>
    <xf numFmtId="0" fontId="30" fillId="12" borderId="31" xfId="0" applyFont="1" applyFill="1" applyBorder="1"/>
    <xf numFmtId="0" fontId="1" fillId="12" borderId="31" xfId="0" applyFont="1" applyFill="1" applyBorder="1"/>
    <xf numFmtId="0" fontId="1" fillId="13" borderId="31" xfId="0" applyFont="1" applyFill="1" applyBorder="1"/>
    <xf numFmtId="0" fontId="1" fillId="11" borderId="31" xfId="0" applyFont="1" applyFill="1" applyBorder="1"/>
    <xf numFmtId="0" fontId="1" fillId="15" borderId="31" xfId="0" applyFont="1" applyFill="1" applyBorder="1"/>
    <xf numFmtId="166" fontId="3" fillId="12" borderId="31" xfId="0" applyNumberFormat="1" applyFont="1" applyFill="1" applyBorder="1"/>
    <xf numFmtId="166" fontId="3" fillId="13" borderId="31" xfId="0" applyNumberFormat="1" applyFont="1" applyFill="1" applyBorder="1"/>
    <xf numFmtId="166" fontId="3" fillId="11" borderId="31" xfId="0" applyNumberFormat="1" applyFont="1" applyFill="1" applyBorder="1"/>
    <xf numFmtId="166" fontId="3" fillId="15" borderId="31" xfId="0" applyNumberFormat="1" applyFont="1" applyFill="1" applyBorder="1"/>
    <xf numFmtId="0" fontId="25" fillId="12" borderId="31" xfId="0" applyFont="1" applyFill="1" applyBorder="1"/>
    <xf numFmtId="0" fontId="25" fillId="13" borderId="31" xfId="0" applyFont="1" applyFill="1" applyBorder="1"/>
    <xf numFmtId="0" fontId="25" fillId="11" borderId="31" xfId="0" applyFont="1" applyFill="1" applyBorder="1"/>
    <xf numFmtId="0" fontId="31" fillId="12" borderId="31" xfId="0" applyFont="1" applyFill="1" applyBorder="1"/>
    <xf numFmtId="0" fontId="31" fillId="15" borderId="31" xfId="0" applyFont="1" applyFill="1" applyBorder="1"/>
    <xf numFmtId="166" fontId="32" fillId="12" borderId="31" xfId="0" applyNumberFormat="1" applyFont="1" applyFill="1" applyBorder="1"/>
    <xf numFmtId="166" fontId="1" fillId="12" borderId="31" xfId="0" applyNumberFormat="1" applyFont="1" applyFill="1" applyBorder="1"/>
    <xf numFmtId="166" fontId="1" fillId="13" borderId="31" xfId="0" applyNumberFormat="1" applyFont="1" applyFill="1" applyBorder="1"/>
    <xf numFmtId="166" fontId="1" fillId="11" borderId="31" xfId="0" applyNumberFormat="1" applyFont="1" applyFill="1" applyBorder="1"/>
    <xf numFmtId="166" fontId="33" fillId="12" borderId="31" xfId="0" applyNumberFormat="1" applyFont="1" applyFill="1" applyBorder="1"/>
    <xf numFmtId="166" fontId="9" fillId="15" borderId="31" xfId="0" applyNumberFormat="1" applyFont="1" applyFill="1" applyBorder="1"/>
    <xf numFmtId="166" fontId="9" fillId="12" borderId="31" xfId="0" applyNumberFormat="1" applyFont="1" applyFill="1" applyBorder="1"/>
    <xf numFmtId="0" fontId="25" fillId="15" borderId="31" xfId="0" applyFont="1" applyFill="1" applyBorder="1"/>
    <xf numFmtId="166" fontId="30" fillId="12" borderId="31" xfId="0" applyNumberFormat="1" applyFont="1" applyFill="1" applyBorder="1"/>
    <xf numFmtId="166" fontId="1" fillId="15" borderId="31" xfId="0" applyNumberFormat="1" applyFont="1" applyFill="1" applyBorder="1"/>
    <xf numFmtId="166" fontId="9" fillId="15" borderId="31" xfId="4" applyNumberFormat="1" applyFont="1" applyFill="1" applyBorder="1"/>
    <xf numFmtId="166" fontId="3" fillId="15" borderId="31" xfId="4" applyNumberFormat="1" applyFont="1" applyFill="1" applyBorder="1"/>
    <xf numFmtId="166" fontId="25" fillId="15" borderId="31" xfId="4" applyNumberFormat="1" applyFont="1" applyFill="1" applyBorder="1"/>
    <xf numFmtId="166" fontId="36" fillId="15" borderId="31" xfId="4" applyNumberFormat="1" applyFont="1" applyFill="1" applyBorder="1"/>
    <xf numFmtId="167" fontId="1" fillId="12" borderId="31" xfId="0" applyNumberFormat="1" applyFont="1" applyFill="1" applyBorder="1"/>
    <xf numFmtId="167" fontId="1" fillId="13" borderId="31" xfId="0" applyNumberFormat="1" applyFont="1" applyFill="1" applyBorder="1"/>
    <xf numFmtId="167" fontId="1" fillId="11" borderId="31" xfId="0" applyNumberFormat="1" applyFont="1" applyFill="1" applyBorder="1"/>
    <xf numFmtId="167" fontId="1" fillId="15" borderId="31" xfId="0" applyNumberFormat="1" applyFont="1" applyFill="1" applyBorder="1"/>
    <xf numFmtId="168" fontId="1" fillId="12" borderId="31" xfId="0" applyNumberFormat="1" applyFont="1" applyFill="1" applyBorder="1"/>
    <xf numFmtId="168" fontId="1" fillId="13" borderId="31" xfId="0" applyNumberFormat="1" applyFont="1" applyFill="1" applyBorder="1"/>
    <xf numFmtId="168" fontId="1" fillId="11" borderId="31" xfId="0" applyNumberFormat="1" applyFont="1" applyFill="1" applyBorder="1"/>
    <xf numFmtId="168" fontId="1" fillId="15" borderId="31" xfId="0" applyNumberFormat="1" applyFont="1" applyFill="1" applyBorder="1"/>
    <xf numFmtId="0" fontId="3" fillId="0" borderId="31" xfId="0" applyFont="1" applyFill="1" applyBorder="1"/>
    <xf numFmtId="166" fontId="3" fillId="0" borderId="22" xfId="4" applyNumberFormat="1" applyFont="1" applyFill="1" applyBorder="1"/>
    <xf numFmtId="0" fontId="4" fillId="0" borderId="38" xfId="0" applyFont="1" applyFill="1" applyBorder="1"/>
    <xf numFmtId="0" fontId="3" fillId="0" borderId="3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22" xfId="0" applyFont="1" applyFill="1" applyBorder="1"/>
    <xf numFmtId="10" fontId="3" fillId="0" borderId="38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28" xfId="0" applyFont="1" applyBorder="1"/>
    <xf numFmtId="0" fontId="4" fillId="0" borderId="56" xfId="0" applyFont="1" applyBorder="1"/>
    <xf numFmtId="0" fontId="3" fillId="0" borderId="50" xfId="0" applyFont="1" applyBorder="1"/>
    <xf numFmtId="0" fontId="3" fillId="0" borderId="42" xfId="0" applyFont="1" applyBorder="1"/>
    <xf numFmtId="0" fontId="3" fillId="0" borderId="28" xfId="0" applyFont="1" applyBorder="1" applyAlignment="1">
      <alignment horizontal="left"/>
    </xf>
    <xf numFmtId="0" fontId="3" fillId="11" borderId="29" xfId="0" applyFont="1" applyFill="1" applyBorder="1"/>
    <xf numFmtId="0" fontId="4" fillId="0" borderId="28" xfId="0" applyFont="1" applyBorder="1"/>
    <xf numFmtId="0" fontId="4" fillId="0" borderId="15" xfId="0" applyFont="1" applyBorder="1"/>
    <xf numFmtId="0" fontId="3" fillId="12" borderId="16" xfId="0" applyFont="1" applyFill="1" applyBorder="1"/>
    <xf numFmtId="0" fontId="3" fillId="13" borderId="16" xfId="0" applyFont="1" applyFill="1" applyBorder="1"/>
    <xf numFmtId="0" fontId="3" fillId="11" borderId="16" xfId="0" applyFont="1" applyFill="1" applyBorder="1"/>
    <xf numFmtId="0" fontId="3" fillId="11" borderId="17" xfId="0" applyFont="1" applyFill="1" applyBorder="1"/>
    <xf numFmtId="9" fontId="4" fillId="14" borderId="1" xfId="0" applyNumberFormat="1" applyFont="1" applyFill="1" applyBorder="1" applyAlignment="1">
      <alignment horizontal="center"/>
    </xf>
    <xf numFmtId="0" fontId="4" fillId="15" borderId="16" xfId="0" applyFont="1" applyFill="1" applyBorder="1" applyAlignment="1">
      <alignment horizontal="center"/>
    </xf>
    <xf numFmtId="0" fontId="4" fillId="14" borderId="16" xfId="0" applyFont="1" applyFill="1" applyBorder="1" applyAlignment="1">
      <alignment horizontal="center"/>
    </xf>
    <xf numFmtId="0" fontId="31" fillId="15" borderId="5" xfId="0" applyFont="1" applyFill="1" applyBorder="1" applyAlignment="1">
      <alignment horizontal="center"/>
    </xf>
    <xf numFmtId="0" fontId="4" fillId="14" borderId="5" xfId="0" applyFont="1" applyFill="1" applyBorder="1" applyAlignment="1">
      <alignment horizontal="center"/>
    </xf>
    <xf numFmtId="164" fontId="4" fillId="12" borderId="5" xfId="0" applyNumberFormat="1" applyFont="1" applyFill="1" applyBorder="1" applyAlignment="1">
      <alignment horizontal="center"/>
    </xf>
    <xf numFmtId="164" fontId="4" fillId="13" borderId="5" xfId="0" applyNumberFormat="1" applyFont="1" applyFill="1" applyBorder="1" applyAlignment="1">
      <alignment horizontal="center"/>
    </xf>
    <xf numFmtId="164" fontId="4" fillId="11" borderId="5" xfId="0" applyNumberFormat="1" applyFont="1" applyFill="1" applyBorder="1" applyAlignment="1">
      <alignment horizontal="center"/>
    </xf>
    <xf numFmtId="44" fontId="31" fillId="15" borderId="5" xfId="0" applyNumberFormat="1" applyFont="1" applyFill="1" applyBorder="1" applyAlignment="1">
      <alignment horizontal="center"/>
    </xf>
    <xf numFmtId="44" fontId="4" fillId="14" borderId="5" xfId="0" applyNumberFormat="1" applyFont="1" applyFill="1" applyBorder="1" applyAlignment="1">
      <alignment horizontal="center"/>
    </xf>
    <xf numFmtId="44" fontId="4" fillId="12" borderId="5" xfId="0" applyNumberFormat="1" applyFont="1" applyFill="1" applyBorder="1" applyAlignment="1">
      <alignment horizontal="center"/>
    </xf>
    <xf numFmtId="44" fontId="4" fillId="13" borderId="5" xfId="0" applyNumberFormat="1" applyFont="1" applyFill="1" applyBorder="1" applyAlignment="1">
      <alignment horizontal="center"/>
    </xf>
    <xf numFmtId="44" fontId="4" fillId="11" borderId="5" xfId="0" applyNumberFormat="1" applyFont="1" applyFill="1" applyBorder="1" applyAlignment="1">
      <alignment horizontal="center"/>
    </xf>
    <xf numFmtId="164" fontId="25" fillId="15" borderId="3" xfId="0" applyNumberFormat="1" applyFont="1" applyFill="1" applyBorder="1" applyAlignment="1">
      <alignment horizontal="center"/>
    </xf>
    <xf numFmtId="164" fontId="3" fillId="14" borderId="0" xfId="0" applyNumberFormat="1" applyFont="1" applyFill="1" applyBorder="1" applyAlignment="1">
      <alignment vertical="center"/>
    </xf>
    <xf numFmtId="164" fontId="3" fillId="12" borderId="0" xfId="0" applyNumberFormat="1" applyFont="1" applyFill="1" applyBorder="1" applyAlignment="1">
      <alignment vertical="center"/>
    </xf>
    <xf numFmtId="164" fontId="3" fillId="13" borderId="0" xfId="0" applyNumberFormat="1" applyFont="1" applyFill="1" applyBorder="1" applyAlignment="1">
      <alignment vertical="center"/>
    </xf>
    <xf numFmtId="164" fontId="3" fillId="11" borderId="0" xfId="0" applyNumberFormat="1" applyFont="1" applyFill="1" applyBorder="1" applyAlignment="1">
      <alignment vertical="center"/>
    </xf>
    <xf numFmtId="164" fontId="3" fillId="11" borderId="22" xfId="0" applyNumberFormat="1" applyFont="1" applyFill="1" applyBorder="1" applyAlignment="1">
      <alignment vertical="center"/>
    </xf>
    <xf numFmtId="164" fontId="3" fillId="15" borderId="3" xfId="0" applyNumberFormat="1" applyFont="1" applyFill="1" applyBorder="1" applyAlignment="1">
      <alignment horizontal="center"/>
    </xf>
    <xf numFmtId="164" fontId="3" fillId="14" borderId="3" xfId="0" applyNumberFormat="1" applyFont="1" applyFill="1" applyBorder="1" applyAlignment="1">
      <alignment horizontal="center"/>
    </xf>
    <xf numFmtId="164" fontId="3" fillId="11" borderId="40" xfId="0" applyNumberFormat="1" applyFont="1" applyFill="1" applyBorder="1" applyAlignment="1">
      <alignment horizontal="center"/>
    </xf>
    <xf numFmtId="164" fontId="3" fillId="12" borderId="3" xfId="0" applyNumberFormat="1" applyFont="1" applyFill="1" applyBorder="1"/>
    <xf numFmtId="164" fontId="3" fillId="13" borderId="3" xfId="0" applyNumberFormat="1" applyFont="1" applyFill="1" applyBorder="1"/>
    <xf numFmtId="164" fontId="3" fillId="11" borderId="3" xfId="0" applyNumberFormat="1" applyFont="1" applyFill="1" applyBorder="1"/>
    <xf numFmtId="164" fontId="3" fillId="11" borderId="40" xfId="0" applyNumberFormat="1" applyFont="1" applyFill="1" applyBorder="1"/>
    <xf numFmtId="164" fontId="3" fillId="15" borderId="3" xfId="2" applyNumberFormat="1" applyFont="1" applyFill="1" applyBorder="1" applyAlignment="1">
      <alignment horizontal="center"/>
    </xf>
    <xf numFmtId="164" fontId="3" fillId="11" borderId="40" xfId="2" applyNumberFormat="1" applyFont="1" applyFill="1" applyBorder="1" applyAlignment="1">
      <alignment horizontal="center"/>
    </xf>
    <xf numFmtId="164" fontId="3" fillId="15" borderId="0" xfId="0" applyNumberFormat="1" applyFont="1" applyFill="1" applyBorder="1"/>
    <xf numFmtId="164" fontId="3" fillId="14" borderId="0" xfId="0" applyNumberFormat="1" applyFont="1" applyFill="1" applyBorder="1"/>
    <xf numFmtId="164" fontId="3" fillId="12" borderId="0" xfId="0" applyNumberFormat="1" applyFont="1" applyFill="1" applyBorder="1"/>
    <xf numFmtId="164" fontId="3" fillId="13" borderId="0" xfId="0" applyNumberFormat="1" applyFont="1" applyFill="1" applyBorder="1"/>
    <xf numFmtId="164" fontId="3" fillId="11" borderId="0" xfId="0" applyNumberFormat="1" applyFont="1" applyFill="1" applyBorder="1"/>
    <xf numFmtId="164" fontId="3" fillId="11" borderId="22" xfId="0" applyNumberFormat="1" applyFont="1" applyFill="1" applyBorder="1"/>
    <xf numFmtId="164" fontId="3" fillId="15" borderId="3" xfId="3" applyNumberFormat="1" applyFont="1" applyFill="1" applyBorder="1" applyAlignment="1">
      <alignment horizontal="center"/>
    </xf>
    <xf numFmtId="164" fontId="3" fillId="14" borderId="1" xfId="0" applyNumberFormat="1" applyFont="1" applyFill="1" applyBorder="1" applyAlignment="1">
      <alignment horizontal="center"/>
    </xf>
    <xf numFmtId="164" fontId="3" fillId="12" borderId="1" xfId="0" applyNumberFormat="1" applyFont="1" applyFill="1" applyBorder="1" applyAlignment="1">
      <alignment horizontal="center"/>
    </xf>
    <xf numFmtId="164" fontId="3" fillId="13" borderId="1" xfId="0" applyNumberFormat="1" applyFont="1" applyFill="1" applyBorder="1" applyAlignment="1">
      <alignment horizontal="center"/>
    </xf>
    <xf numFmtId="164" fontId="3" fillId="11" borderId="1" xfId="0" applyNumberFormat="1" applyFont="1" applyFill="1" applyBorder="1" applyAlignment="1">
      <alignment horizontal="center"/>
    </xf>
    <xf numFmtId="164" fontId="3" fillId="11" borderId="29" xfId="0" applyNumberFormat="1" applyFont="1" applyFill="1" applyBorder="1" applyAlignment="1">
      <alignment horizontal="center"/>
    </xf>
    <xf numFmtId="164" fontId="3" fillId="15" borderId="4" xfId="0" applyNumberFormat="1" applyFont="1" applyFill="1" applyBorder="1" applyAlignment="1">
      <alignment horizontal="center"/>
    </xf>
    <xf numFmtId="164" fontId="3" fillId="14" borderId="4" xfId="0" applyNumberFormat="1" applyFont="1" applyFill="1" applyBorder="1" applyAlignment="1">
      <alignment horizontal="center"/>
    </xf>
    <xf numFmtId="164" fontId="3" fillId="12" borderId="4" xfId="0" applyNumberFormat="1" applyFont="1" applyFill="1" applyBorder="1"/>
    <xf numFmtId="164" fontId="3" fillId="13" borderId="4" xfId="0" applyNumberFormat="1" applyFont="1" applyFill="1" applyBorder="1"/>
    <xf numFmtId="164" fontId="3" fillId="11" borderId="4" xfId="0" applyNumberFormat="1" applyFont="1" applyFill="1" applyBorder="1"/>
    <xf numFmtId="164" fontId="3" fillId="11" borderId="50" xfId="0" applyNumberFormat="1" applyFont="1" applyFill="1" applyBorder="1"/>
    <xf numFmtId="164" fontId="4" fillId="15" borderId="1" xfId="0" applyNumberFormat="1" applyFont="1" applyFill="1" applyBorder="1" applyAlignment="1">
      <alignment horizontal="center"/>
    </xf>
    <xf numFmtId="164" fontId="4" fillId="14" borderId="1" xfId="2" applyNumberFormat="1" applyFont="1" applyFill="1" applyBorder="1" applyAlignment="1">
      <alignment horizontal="center"/>
    </xf>
    <xf numFmtId="164" fontId="4" fillId="12" borderId="1" xfId="2" applyNumberFormat="1" applyFont="1" applyFill="1" applyBorder="1" applyAlignment="1">
      <alignment horizontal="center"/>
    </xf>
    <xf numFmtId="164" fontId="4" fillId="13" borderId="1" xfId="2" applyNumberFormat="1" applyFont="1" applyFill="1" applyBorder="1" applyAlignment="1">
      <alignment horizontal="center"/>
    </xf>
    <xf numFmtId="164" fontId="4" fillId="11" borderId="1" xfId="2" applyNumberFormat="1" applyFont="1" applyFill="1" applyBorder="1" applyAlignment="1">
      <alignment horizontal="center"/>
    </xf>
    <xf numFmtId="164" fontId="4" fillId="11" borderId="29" xfId="2" applyNumberFormat="1" applyFont="1" applyFill="1" applyBorder="1" applyAlignment="1">
      <alignment horizontal="center"/>
    </xf>
    <xf numFmtId="164" fontId="3" fillId="14" borderId="3" xfId="3" applyNumberFormat="1" applyFont="1" applyFill="1" applyBorder="1" applyAlignment="1">
      <alignment horizontal="center"/>
    </xf>
    <xf numFmtId="164" fontId="3" fillId="12" borderId="3" xfId="3" applyNumberFormat="1" applyFont="1" applyFill="1" applyBorder="1" applyAlignment="1">
      <alignment horizontal="center"/>
    </xf>
    <xf numFmtId="164" fontId="3" fillId="13" borderId="3" xfId="3" applyNumberFormat="1" applyFont="1" applyFill="1" applyBorder="1" applyAlignment="1">
      <alignment horizontal="center"/>
    </xf>
    <xf numFmtId="164" fontId="3" fillId="11" borderId="3" xfId="3" applyNumberFormat="1" applyFont="1" applyFill="1" applyBorder="1" applyAlignment="1">
      <alignment horizontal="center"/>
    </xf>
    <xf numFmtId="164" fontId="3" fillId="11" borderId="40" xfId="3" applyNumberFormat="1" applyFont="1" applyFill="1" applyBorder="1" applyAlignment="1">
      <alignment horizontal="center"/>
    </xf>
    <xf numFmtId="164" fontId="3" fillId="14" borderId="4" xfId="2" applyNumberFormat="1" applyFont="1" applyFill="1" applyBorder="1" applyAlignment="1">
      <alignment horizontal="center"/>
    </xf>
    <xf numFmtId="164" fontId="3" fillId="12" borderId="4" xfId="2" applyNumberFormat="1" applyFont="1" applyFill="1" applyBorder="1" applyAlignment="1">
      <alignment horizontal="center"/>
    </xf>
    <xf numFmtId="164" fontId="3" fillId="13" borderId="4" xfId="2" applyNumberFormat="1" applyFont="1" applyFill="1" applyBorder="1" applyAlignment="1">
      <alignment horizontal="center"/>
    </xf>
    <xf numFmtId="164" fontId="3" fillId="11" borderId="4" xfId="2" applyNumberFormat="1" applyFont="1" applyFill="1" applyBorder="1" applyAlignment="1">
      <alignment horizontal="center"/>
    </xf>
    <xf numFmtId="164" fontId="3" fillId="11" borderId="50" xfId="2" applyNumberFormat="1" applyFont="1" applyFill="1" applyBorder="1" applyAlignment="1">
      <alignment horizontal="center"/>
    </xf>
    <xf numFmtId="164" fontId="3" fillId="12" borderId="3" xfId="2" applyNumberFormat="1" applyFont="1" applyFill="1" applyBorder="1"/>
    <xf numFmtId="164" fontId="3" fillId="13" borderId="3" xfId="2" applyNumberFormat="1" applyFont="1" applyFill="1" applyBorder="1"/>
    <xf numFmtId="164" fontId="3" fillId="11" borderId="3" xfId="2" applyNumberFormat="1" applyFont="1" applyFill="1" applyBorder="1"/>
    <xf numFmtId="164" fontId="3" fillId="11" borderId="40" xfId="2" applyNumberFormat="1" applyFont="1" applyFill="1" applyBorder="1"/>
    <xf numFmtId="164" fontId="3" fillId="14" borderId="3" xfId="2" applyNumberFormat="1" applyFont="1" applyFill="1" applyBorder="1"/>
    <xf numFmtId="164" fontId="3" fillId="11" borderId="3" xfId="0" applyNumberFormat="1" applyFont="1" applyFill="1" applyBorder="1" applyAlignment="1">
      <alignment horizontal="right"/>
    </xf>
    <xf numFmtId="9" fontId="4" fillId="14" borderId="5" xfId="3" applyFont="1" applyFill="1" applyBorder="1" applyAlignment="1">
      <alignment horizontal="center"/>
    </xf>
    <xf numFmtId="164" fontId="4" fillId="14" borderId="3" xfId="2" applyNumberFormat="1" applyFont="1" applyFill="1" applyBorder="1" applyAlignment="1">
      <alignment horizontal="center"/>
    </xf>
    <xf numFmtId="44" fontId="4" fillId="14" borderId="5" xfId="2" applyFont="1" applyFill="1" applyBorder="1" applyAlignment="1">
      <alignment horizontal="center"/>
    </xf>
    <xf numFmtId="44" fontId="4" fillId="12" borderId="5" xfId="2" applyFont="1" applyFill="1" applyBorder="1" applyAlignment="1">
      <alignment horizontal="center"/>
    </xf>
    <xf numFmtId="44" fontId="4" fillId="13" borderId="5" xfId="2" applyFont="1" applyFill="1" applyBorder="1" applyAlignment="1">
      <alignment horizontal="center"/>
    </xf>
    <xf numFmtId="44" fontId="4" fillId="11" borderId="5" xfId="2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44" fontId="4" fillId="12" borderId="5" xfId="2" applyFont="1" applyFill="1" applyBorder="1" applyAlignment="1">
      <alignment horizontal="right"/>
    </xf>
    <xf numFmtId="0" fontId="4" fillId="12" borderId="5" xfId="0" applyFont="1" applyFill="1" applyBorder="1" applyAlignment="1">
      <alignment horizontal="right"/>
    </xf>
    <xf numFmtId="0" fontId="4" fillId="13" borderId="5" xfId="0" applyFont="1" applyFill="1" applyBorder="1" applyAlignment="1">
      <alignment horizontal="right"/>
    </xf>
    <xf numFmtId="0" fontId="4" fillId="11" borderId="5" xfId="0" applyFont="1" applyFill="1" applyBorder="1" applyAlignment="1">
      <alignment horizontal="right"/>
    </xf>
    <xf numFmtId="0" fontId="4" fillId="0" borderId="5" xfId="0" applyFont="1" applyBorder="1" applyAlignment="1">
      <alignment horizontal="center"/>
    </xf>
    <xf numFmtId="9" fontId="4" fillId="14" borderId="5" xfId="0" applyNumberFormat="1" applyFont="1" applyFill="1" applyBorder="1" applyAlignment="1">
      <alignment horizontal="center"/>
    </xf>
    <xf numFmtId="0" fontId="4" fillId="15" borderId="5" xfId="0" applyFont="1" applyFill="1" applyBorder="1" applyAlignment="1">
      <alignment horizontal="center"/>
    </xf>
    <xf numFmtId="164" fontId="4" fillId="14" borderId="5" xfId="2" applyNumberFormat="1" applyFont="1" applyFill="1" applyBorder="1" applyAlignment="1">
      <alignment horizontal="center"/>
    </xf>
    <xf numFmtId="164" fontId="4" fillId="12" borderId="5" xfId="2" applyNumberFormat="1" applyFont="1" applyFill="1" applyBorder="1" applyAlignment="1">
      <alignment horizontal="center"/>
    </xf>
    <xf numFmtId="164" fontId="4" fillId="13" borderId="5" xfId="2" applyNumberFormat="1" applyFont="1" applyFill="1" applyBorder="1" applyAlignment="1">
      <alignment horizontal="center"/>
    </xf>
    <xf numFmtId="164" fontId="4" fillId="11" borderId="5" xfId="2" applyNumberFormat="1" applyFont="1" applyFill="1" applyBorder="1" applyAlignment="1">
      <alignment horizontal="center"/>
    </xf>
    <xf numFmtId="164" fontId="3" fillId="12" borderId="3" xfId="2" applyNumberFormat="1" applyFont="1" applyFill="1" applyBorder="1" applyAlignment="1">
      <alignment horizontal="right"/>
    </xf>
    <xf numFmtId="164" fontId="3" fillId="13" borderId="3" xfId="2" applyNumberFormat="1" applyFont="1" applyFill="1" applyBorder="1" applyAlignment="1">
      <alignment horizontal="right"/>
    </xf>
    <xf numFmtId="164" fontId="3" fillId="11" borderId="3" xfId="2" applyNumberFormat="1" applyFont="1" applyFill="1" applyBorder="1" applyAlignment="1">
      <alignment horizontal="right"/>
    </xf>
    <xf numFmtId="164" fontId="3" fillId="0" borderId="3" xfId="0" applyNumberFormat="1" applyFont="1" applyFill="1" applyBorder="1" applyAlignment="1">
      <alignment horizontal="right"/>
    </xf>
    <xf numFmtId="44" fontId="4" fillId="15" borderId="5" xfId="0" applyNumberFormat="1" applyFont="1" applyFill="1" applyBorder="1" applyAlignment="1">
      <alignment horizontal="center"/>
    </xf>
    <xf numFmtId="164" fontId="3" fillId="12" borderId="3" xfId="0" applyNumberFormat="1" applyFont="1" applyFill="1" applyBorder="1" applyAlignment="1">
      <alignment horizontal="right"/>
    </xf>
    <xf numFmtId="164" fontId="3" fillId="13" borderId="3" xfId="0" applyNumberFormat="1" applyFont="1" applyFill="1" applyBorder="1" applyAlignment="1">
      <alignment horizontal="right"/>
    </xf>
    <xf numFmtId="164" fontId="4" fillId="14" borderId="5" xfId="0" applyNumberFormat="1" applyFont="1" applyFill="1" applyBorder="1" applyAlignment="1">
      <alignment horizontal="center"/>
    </xf>
    <xf numFmtId="44" fontId="3" fillId="14" borderId="3" xfId="2" applyFont="1" applyFill="1" applyBorder="1" applyAlignment="1">
      <alignment horizontal="left" indent="2"/>
    </xf>
    <xf numFmtId="44" fontId="3" fillId="12" borderId="3" xfId="2" applyFont="1" applyFill="1" applyBorder="1" applyAlignment="1">
      <alignment horizontal="left" indent="2"/>
    </xf>
    <xf numFmtId="44" fontId="3" fillId="13" borderId="3" xfId="2" applyFont="1" applyFill="1" applyBorder="1" applyAlignment="1">
      <alignment horizontal="left" indent="2"/>
    </xf>
    <xf numFmtId="44" fontId="3" fillId="11" borderId="3" xfId="2" applyFont="1" applyFill="1" applyBorder="1" applyAlignment="1">
      <alignment horizontal="left" indent="2"/>
    </xf>
    <xf numFmtId="44" fontId="4" fillId="14" borderId="5" xfId="2" applyFont="1" applyFill="1" applyBorder="1" applyAlignment="1">
      <alignment horizontal="left" indent="2"/>
    </xf>
    <xf numFmtId="44" fontId="4" fillId="12" borderId="5" xfId="2" applyFont="1" applyFill="1" applyBorder="1" applyAlignment="1">
      <alignment horizontal="left" indent="2"/>
    </xf>
    <xf numFmtId="44" fontId="4" fillId="13" borderId="5" xfId="2" applyFont="1" applyFill="1" applyBorder="1" applyAlignment="1">
      <alignment horizontal="left" indent="2"/>
    </xf>
    <xf numFmtId="44" fontId="4" fillId="11" borderId="5" xfId="2" applyFont="1" applyFill="1" applyBorder="1" applyAlignment="1">
      <alignment horizontal="left" indent="2"/>
    </xf>
    <xf numFmtId="164" fontId="3" fillId="14" borderId="3" xfId="0" applyNumberFormat="1" applyFont="1" applyFill="1" applyBorder="1" applyAlignment="1">
      <alignment horizontal="center" wrapText="1"/>
    </xf>
    <xf numFmtId="164" fontId="3" fillId="12" borderId="3" xfId="0" applyNumberFormat="1" applyFont="1" applyFill="1" applyBorder="1" applyAlignment="1">
      <alignment horizontal="center" wrapText="1"/>
    </xf>
    <xf numFmtId="164" fontId="3" fillId="13" borderId="3" xfId="0" applyNumberFormat="1" applyFont="1" applyFill="1" applyBorder="1" applyAlignment="1">
      <alignment horizontal="center" wrapText="1"/>
    </xf>
    <xf numFmtId="164" fontId="3" fillId="11" borderId="3" xfId="0" applyNumberFormat="1" applyFont="1" applyFill="1" applyBorder="1" applyAlignment="1">
      <alignment horizontal="center" wrapText="1"/>
    </xf>
    <xf numFmtId="6" fontId="3" fillId="14" borderId="2" xfId="0" applyNumberFormat="1" applyFont="1" applyFill="1" applyBorder="1" applyAlignment="1">
      <alignment horizontal="center"/>
    </xf>
    <xf numFmtId="164" fontId="3" fillId="13" borderId="3" xfId="2" applyNumberFormat="1" applyFont="1" applyFill="1" applyBorder="1" applyAlignment="1">
      <alignment horizontal="right" wrapText="1"/>
    </xf>
    <xf numFmtId="164" fontId="3" fillId="11" borderId="3" xfId="2" applyNumberFormat="1" applyFont="1" applyFill="1" applyBorder="1" applyAlignment="1">
      <alignment horizontal="right" wrapText="1"/>
    </xf>
    <xf numFmtId="164" fontId="3" fillId="13" borderId="7" xfId="2" applyNumberFormat="1" applyFont="1" applyFill="1" applyBorder="1" applyAlignment="1">
      <alignment horizontal="right" wrapText="1"/>
    </xf>
    <xf numFmtId="164" fontId="3" fillId="11" borderId="7" xfId="2" applyNumberFormat="1" applyFont="1" applyFill="1" applyBorder="1" applyAlignment="1">
      <alignment horizontal="right" wrapText="1"/>
    </xf>
    <xf numFmtId="164" fontId="4" fillId="13" borderId="5" xfId="2" applyNumberFormat="1" applyFont="1" applyFill="1" applyBorder="1" applyAlignment="1">
      <alignment horizontal="right"/>
    </xf>
    <xf numFmtId="164" fontId="4" fillId="11" borderId="5" xfId="2" applyNumberFormat="1" applyFont="1" applyFill="1" applyBorder="1" applyAlignment="1">
      <alignment horizontal="right"/>
    </xf>
    <xf numFmtId="164" fontId="3" fillId="11" borderId="5" xfId="2" applyNumberFormat="1" applyFont="1" applyFill="1" applyBorder="1" applyAlignment="1">
      <alignment horizontal="center"/>
    </xf>
    <xf numFmtId="44" fontId="3" fillId="13" borderId="48" xfId="0" applyNumberFormat="1" applyFont="1" applyFill="1" applyBorder="1" applyAlignment="1">
      <alignment horizontal="center"/>
    </xf>
    <xf numFmtId="44" fontId="3" fillId="12" borderId="48" xfId="0" applyNumberFormat="1" applyFont="1" applyFill="1" applyBorder="1" applyAlignment="1">
      <alignment horizontal="center"/>
    </xf>
    <xf numFmtId="44" fontId="3" fillId="11" borderId="48" xfId="0" applyNumberFormat="1" applyFont="1" applyFill="1" applyBorder="1" applyAlignment="1">
      <alignment horizontal="center"/>
    </xf>
    <xf numFmtId="44" fontId="3" fillId="11" borderId="47" xfId="0" applyNumberFormat="1" applyFont="1" applyFill="1" applyBorder="1" applyAlignment="1">
      <alignment horizontal="center"/>
    </xf>
    <xf numFmtId="44" fontId="3" fillId="11" borderId="49" xfId="0" applyNumberFormat="1" applyFont="1" applyFill="1" applyBorder="1"/>
    <xf numFmtId="44" fontId="3" fillId="11" borderId="47" xfId="0" applyNumberFormat="1" applyFont="1" applyFill="1" applyBorder="1" applyAlignment="1">
      <alignment horizontal="right"/>
    </xf>
    <xf numFmtId="44" fontId="3" fillId="11" borderId="48" xfId="0" applyNumberFormat="1" applyFont="1" applyFill="1" applyBorder="1" applyAlignment="1">
      <alignment horizontal="right"/>
    </xf>
    <xf numFmtId="44" fontId="3" fillId="11" borderId="49" xfId="0" applyNumberFormat="1" applyFont="1" applyFill="1" applyBorder="1" applyAlignment="1">
      <alignment horizontal="right"/>
    </xf>
    <xf numFmtId="44" fontId="3" fillId="13" borderId="47" xfId="0" applyNumberFormat="1" applyFont="1" applyFill="1" applyBorder="1" applyAlignment="1">
      <alignment horizontal="center"/>
    </xf>
    <xf numFmtId="44" fontId="3" fillId="13" borderId="49" xfId="0" applyNumberFormat="1" applyFont="1" applyFill="1" applyBorder="1"/>
    <xf numFmtId="44" fontId="3" fillId="13" borderId="47" xfId="0" applyNumberFormat="1" applyFont="1" applyFill="1" applyBorder="1" applyAlignment="1">
      <alignment horizontal="right"/>
    </xf>
    <xf numFmtId="44" fontId="3" fillId="13" borderId="48" xfId="0" applyNumberFormat="1" applyFont="1" applyFill="1" applyBorder="1" applyAlignment="1">
      <alignment horizontal="right"/>
    </xf>
    <xf numFmtId="44" fontId="3" fillId="13" borderId="49" xfId="0" applyNumberFormat="1" applyFont="1" applyFill="1" applyBorder="1" applyAlignment="1">
      <alignment horizontal="right"/>
    </xf>
    <xf numFmtId="44" fontId="3" fillId="12" borderId="47" xfId="0" applyNumberFormat="1" applyFont="1" applyFill="1" applyBorder="1" applyAlignment="1">
      <alignment horizontal="center"/>
    </xf>
    <xf numFmtId="44" fontId="3" fillId="12" borderId="49" xfId="0" applyNumberFormat="1" applyFont="1" applyFill="1" applyBorder="1"/>
    <xf numFmtId="44" fontId="3" fillId="12" borderId="47" xfId="0" applyNumberFormat="1" applyFont="1" applyFill="1" applyBorder="1" applyAlignment="1">
      <alignment horizontal="right"/>
    </xf>
    <xf numFmtId="44" fontId="3" fillId="12" borderId="48" xfId="0" applyNumberFormat="1" applyFont="1" applyFill="1" applyBorder="1" applyAlignment="1">
      <alignment horizontal="right"/>
    </xf>
    <xf numFmtId="44" fontId="3" fillId="12" borderId="49" xfId="0" applyNumberFormat="1" applyFont="1" applyFill="1" applyBorder="1" applyAlignment="1">
      <alignment horizontal="right"/>
    </xf>
    <xf numFmtId="0" fontId="9" fillId="11" borderId="0" xfId="1" applyFont="1" applyFill="1" applyBorder="1" applyAlignment="1">
      <alignment horizontal="centerContinuous"/>
    </xf>
    <xf numFmtId="0" fontId="10" fillId="11" borderId="0" xfId="1" applyFont="1" applyFill="1" applyBorder="1" applyAlignment="1">
      <alignment horizontal="centerContinuous"/>
    </xf>
    <xf numFmtId="0" fontId="9" fillId="11" borderId="0" xfId="1" applyFont="1" applyFill="1" applyBorder="1" applyAlignment="1">
      <alignment horizontal="center"/>
    </xf>
    <xf numFmtId="0" fontId="10" fillId="11" borderId="0" xfId="1" applyFont="1" applyFill="1" applyBorder="1" applyAlignment="1">
      <alignment horizontal="center"/>
    </xf>
    <xf numFmtId="42" fontId="10" fillId="11" borderId="0" xfId="1" applyNumberFormat="1" applyFont="1" applyFill="1" applyBorder="1"/>
    <xf numFmtId="41" fontId="10" fillId="11" borderId="0" xfId="1" applyNumberFormat="1" applyFont="1" applyFill="1" applyBorder="1"/>
    <xf numFmtId="42" fontId="9" fillId="11" borderId="0" xfId="1" applyNumberFormat="1" applyFont="1" applyFill="1" applyBorder="1"/>
    <xf numFmtId="6" fontId="10" fillId="11" borderId="0" xfId="1" applyNumberFormat="1" applyFont="1" applyFill="1" applyBorder="1"/>
    <xf numFmtId="42" fontId="4" fillId="11" borderId="0" xfId="1" applyNumberFormat="1" applyFont="1" applyFill="1" applyBorder="1"/>
    <xf numFmtId="42" fontId="9" fillId="11" borderId="16" xfId="1" applyNumberFormat="1" applyFont="1" applyFill="1" applyBorder="1"/>
    <xf numFmtId="0" fontId="10" fillId="13" borderId="0" xfId="0" applyFont="1" applyFill="1" applyBorder="1" applyAlignment="1">
      <alignment horizontal="centerContinuous"/>
    </xf>
    <xf numFmtId="0" fontId="10" fillId="13" borderId="0" xfId="1" applyFont="1" applyFill="1" applyBorder="1" applyAlignment="1">
      <alignment horizontal="centerContinuous"/>
    </xf>
    <xf numFmtId="0" fontId="9" fillId="13" borderId="0" xfId="1" applyFont="1" applyFill="1" applyBorder="1" applyAlignment="1">
      <alignment horizontal="centerContinuous"/>
    </xf>
    <xf numFmtId="0" fontId="9" fillId="13" borderId="0" xfId="0" applyFont="1" applyFill="1" applyBorder="1" applyAlignment="1">
      <alignment horizontal="center"/>
    </xf>
    <xf numFmtId="0" fontId="9" fillId="13" borderId="0" xfId="1" applyFont="1" applyFill="1" applyBorder="1" applyAlignment="1">
      <alignment horizontal="center"/>
    </xf>
    <xf numFmtId="0" fontId="10" fillId="13" borderId="0" xfId="1" applyFont="1" applyFill="1" applyBorder="1" applyAlignment="1">
      <alignment horizontal="center"/>
    </xf>
    <xf numFmtId="42" fontId="10" fillId="13" borderId="0" xfId="1" applyNumberFormat="1" applyFont="1" applyFill="1" applyBorder="1"/>
    <xf numFmtId="41" fontId="10" fillId="13" borderId="0" xfId="1" applyNumberFormat="1" applyFont="1" applyFill="1" applyBorder="1"/>
    <xf numFmtId="42" fontId="9" fillId="13" borderId="0" xfId="1" applyNumberFormat="1" applyFont="1" applyFill="1" applyBorder="1"/>
    <xf numFmtId="6" fontId="10" fillId="13" borderId="0" xfId="1" applyNumberFormat="1" applyFont="1" applyFill="1" applyBorder="1"/>
    <xf numFmtId="42" fontId="4" fillId="13" borderId="0" xfId="1" applyNumberFormat="1" applyFont="1" applyFill="1" applyBorder="1"/>
    <xf numFmtId="42" fontId="9" fillId="13" borderId="16" xfId="1" applyNumberFormat="1" applyFont="1" applyFill="1" applyBorder="1"/>
    <xf numFmtId="0" fontId="9" fillId="12" borderId="0" xfId="1" applyFont="1" applyFill="1" applyBorder="1" applyAlignment="1">
      <alignment horizontal="centerContinuous"/>
    </xf>
    <xf numFmtId="0" fontId="10" fillId="12" borderId="0" xfId="1" applyFont="1" applyFill="1" applyBorder="1" applyAlignment="1">
      <alignment horizontal="centerContinuous"/>
    </xf>
    <xf numFmtId="0" fontId="9" fillId="12" borderId="0" xfId="1" applyFont="1" applyFill="1" applyBorder="1" applyAlignment="1">
      <alignment horizontal="center"/>
    </xf>
    <xf numFmtId="0" fontId="10" fillId="12" borderId="0" xfId="1" applyFont="1" applyFill="1" applyBorder="1" applyAlignment="1">
      <alignment horizontal="center"/>
    </xf>
    <xf numFmtId="42" fontId="10" fillId="12" borderId="0" xfId="1" applyNumberFormat="1" applyFont="1" applyFill="1" applyBorder="1"/>
    <xf numFmtId="41" fontId="10" fillId="12" borderId="0" xfId="1" applyNumberFormat="1" applyFont="1" applyFill="1" applyBorder="1"/>
    <xf numFmtId="42" fontId="9" fillId="12" borderId="0" xfId="1" applyNumberFormat="1" applyFont="1" applyFill="1" applyBorder="1"/>
    <xf numFmtId="6" fontId="10" fillId="12" borderId="0" xfId="1" applyNumberFormat="1" applyFont="1" applyFill="1" applyBorder="1"/>
    <xf numFmtId="42" fontId="4" fillId="12" borderId="0" xfId="1" applyNumberFormat="1" applyFont="1" applyFill="1" applyBorder="1"/>
    <xf numFmtId="42" fontId="9" fillId="12" borderId="16" xfId="1" applyNumberFormat="1" applyFont="1" applyFill="1" applyBorder="1"/>
    <xf numFmtId="0" fontId="10" fillId="15" borderId="22" xfId="1" applyFont="1" applyFill="1" applyBorder="1"/>
    <xf numFmtId="0" fontId="9" fillId="15" borderId="22" xfId="1" applyFont="1" applyFill="1" applyBorder="1" applyAlignment="1">
      <alignment horizontal="center"/>
    </xf>
    <xf numFmtId="0" fontId="10" fillId="15" borderId="22" xfId="1" applyFont="1" applyFill="1" applyBorder="1" applyAlignment="1">
      <alignment horizontal="center"/>
    </xf>
    <xf numFmtId="42" fontId="10" fillId="15" borderId="22" xfId="1" applyNumberFormat="1" applyFont="1" applyFill="1" applyBorder="1"/>
    <xf numFmtId="41" fontId="10" fillId="15" borderId="22" xfId="1" applyNumberFormat="1" applyFont="1" applyFill="1" applyBorder="1"/>
    <xf numFmtId="42" fontId="9" fillId="15" borderId="22" xfId="1" applyNumberFormat="1" applyFont="1" applyFill="1" applyBorder="1"/>
    <xf numFmtId="6" fontId="10" fillId="15" borderId="22" xfId="1" applyNumberFormat="1" applyFont="1" applyFill="1" applyBorder="1"/>
    <xf numFmtId="42" fontId="4" fillId="15" borderId="22" xfId="1" applyNumberFormat="1" applyFont="1" applyFill="1" applyBorder="1"/>
    <xf numFmtId="42" fontId="9" fillId="15" borderId="17" xfId="1" applyNumberFormat="1" applyFont="1" applyFill="1" applyBorder="1"/>
    <xf numFmtId="0" fontId="9" fillId="14" borderId="0" xfId="1" applyFont="1" applyFill="1" applyBorder="1" applyAlignment="1">
      <alignment horizontal="center"/>
    </xf>
    <xf numFmtId="10" fontId="10" fillId="14" borderId="0" xfId="1" applyNumberFormat="1" applyFont="1" applyFill="1" applyBorder="1" applyAlignment="1">
      <alignment horizontal="centerContinuous"/>
    </xf>
    <xf numFmtId="42" fontId="3" fillId="14" borderId="0" xfId="1" applyNumberFormat="1" applyFont="1" applyFill="1" applyBorder="1"/>
    <xf numFmtId="41" fontId="3" fillId="14" borderId="0" xfId="1" applyNumberFormat="1" applyFont="1" applyFill="1" applyBorder="1"/>
    <xf numFmtId="42" fontId="9" fillId="14" borderId="0" xfId="1" applyNumberFormat="1" applyFont="1" applyFill="1" applyBorder="1"/>
    <xf numFmtId="6" fontId="10" fillId="14" borderId="0" xfId="1" applyNumberFormat="1" applyFont="1" applyFill="1" applyBorder="1"/>
    <xf numFmtId="42" fontId="10" fillId="14" borderId="0" xfId="1" applyNumberFormat="1" applyFont="1" applyFill="1" applyBorder="1"/>
    <xf numFmtId="41" fontId="10" fillId="14" borderId="0" xfId="1" applyNumberFormat="1" applyFont="1" applyFill="1" applyBorder="1"/>
    <xf numFmtId="42" fontId="4" fillId="14" borderId="0" xfId="1" applyNumberFormat="1" applyFont="1" applyFill="1" applyBorder="1"/>
    <xf numFmtId="42" fontId="9" fillId="14" borderId="16" xfId="1" applyNumberFormat="1" applyFont="1" applyFill="1" applyBorder="1"/>
    <xf numFmtId="42" fontId="9" fillId="15" borderId="14" xfId="1" applyNumberFormat="1" applyFont="1" applyFill="1" applyBorder="1"/>
    <xf numFmtId="10" fontId="9" fillId="15" borderId="17" xfId="1" applyNumberFormat="1" applyFont="1" applyFill="1" applyBorder="1" applyAlignment="1">
      <alignment horizontal="center"/>
    </xf>
    <xf numFmtId="10" fontId="28" fillId="15" borderId="17" xfId="1" applyNumberFormat="1" applyFont="1" applyFill="1" applyBorder="1" applyAlignment="1">
      <alignment horizontal="center"/>
    </xf>
    <xf numFmtId="0" fontId="18" fillId="13" borderId="25" xfId="0" applyFont="1" applyFill="1" applyBorder="1" applyAlignment="1">
      <alignment horizontal="center"/>
    </xf>
    <xf numFmtId="0" fontId="13" fillId="2" borderId="14" xfId="1" applyFont="1" applyFill="1" applyBorder="1" applyAlignment="1">
      <alignment vertical="center"/>
    </xf>
    <xf numFmtId="0" fontId="11" fillId="2" borderId="65" xfId="1" applyFont="1" applyFill="1" applyBorder="1" applyAlignment="1">
      <alignment horizontal="left" vertical="center"/>
    </xf>
    <xf numFmtId="0" fontId="13" fillId="15" borderId="0" xfId="1" applyFont="1" applyFill="1" applyBorder="1"/>
    <xf numFmtId="0" fontId="13" fillId="15" borderId="22" xfId="1" applyFont="1" applyFill="1" applyBorder="1"/>
    <xf numFmtId="0" fontId="13" fillId="15" borderId="0" xfId="1" applyFont="1" applyFill="1" applyBorder="1" applyAlignment="1">
      <alignment horizontal="center"/>
    </xf>
    <xf numFmtId="43" fontId="13" fillId="15" borderId="0" xfId="1" applyNumberFormat="1" applyFont="1" applyFill="1" applyBorder="1" applyAlignment="1">
      <alignment horizontal="center"/>
    </xf>
    <xf numFmtId="0" fontId="13" fillId="15" borderId="0" xfId="1" applyFont="1" applyFill="1" applyBorder="1" applyAlignment="1"/>
    <xf numFmtId="44" fontId="13" fillId="15" borderId="0" xfId="1" applyNumberFormat="1" applyFont="1" applyFill="1" applyBorder="1" applyAlignment="1"/>
    <xf numFmtId="0" fontId="11" fillId="2" borderId="14" xfId="1" applyFont="1" applyFill="1" applyBorder="1" applyAlignment="1">
      <alignment horizontal="left" vertical="center"/>
    </xf>
    <xf numFmtId="0" fontId="3" fillId="0" borderId="4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14" fillId="12" borderId="0" xfId="1" applyFont="1" applyFill="1" applyBorder="1"/>
    <xf numFmtId="0" fontId="15" fillId="12" borderId="0" xfId="1" applyFont="1" applyFill="1" applyBorder="1"/>
    <xf numFmtId="0" fontId="14" fillId="12" borderId="0" xfId="1" applyFont="1" applyFill="1" applyBorder="1" applyAlignment="1">
      <alignment horizontal="center"/>
    </xf>
    <xf numFmtId="0" fontId="14" fillId="13" borderId="0" xfId="1" applyFont="1" applyFill="1" applyBorder="1" applyAlignment="1">
      <alignment horizontal="center"/>
    </xf>
    <xf numFmtId="0" fontId="14" fillId="11" borderId="0" xfId="1" applyFont="1" applyFill="1" applyBorder="1" applyAlignment="1">
      <alignment horizontal="center"/>
    </xf>
    <xf numFmtId="0" fontId="13" fillId="11" borderId="0" xfId="1" applyFont="1" applyFill="1" applyBorder="1" applyAlignment="1"/>
    <xf numFmtId="164" fontId="13" fillId="12" borderId="0" xfId="2" applyNumberFormat="1" applyFont="1" applyFill="1" applyBorder="1" applyAlignment="1">
      <alignment horizontal="center"/>
    </xf>
    <xf numFmtId="164" fontId="13" fillId="13" borderId="0" xfId="2" applyNumberFormat="1" applyFont="1" applyFill="1" applyBorder="1" applyAlignment="1">
      <alignment horizontal="center"/>
    </xf>
    <xf numFmtId="164" fontId="13" fillId="11" borderId="0" xfId="2" applyNumberFormat="1" applyFont="1" applyFill="1" applyBorder="1" applyAlignment="1">
      <alignment horizontal="center"/>
    </xf>
    <xf numFmtId="44" fontId="13" fillId="12" borderId="0" xfId="1" applyNumberFormat="1" applyFont="1" applyFill="1" applyBorder="1"/>
    <xf numFmtId="44" fontId="13" fillId="13" borderId="0" xfId="1" applyNumberFormat="1" applyFont="1" applyFill="1" applyBorder="1"/>
    <xf numFmtId="44" fontId="13" fillId="11" borderId="0" xfId="1" applyNumberFormat="1" applyFont="1" applyFill="1" applyBorder="1"/>
    <xf numFmtId="44" fontId="13" fillId="11" borderId="0" xfId="1" applyNumberFormat="1" applyFont="1" applyFill="1" applyBorder="1" applyAlignment="1"/>
    <xf numFmtId="42" fontId="13" fillId="12" borderId="0" xfId="1" applyNumberFormat="1" applyFont="1" applyFill="1" applyBorder="1" applyAlignment="1">
      <alignment horizontal="center"/>
    </xf>
    <xf numFmtId="42" fontId="13" fillId="13" borderId="0" xfId="1" applyNumberFormat="1" applyFont="1" applyFill="1" applyBorder="1" applyAlignment="1">
      <alignment horizontal="center"/>
    </xf>
    <xf numFmtId="42" fontId="13" fillId="11" borderId="0" xfId="1" applyNumberFormat="1" applyFont="1" applyFill="1" applyBorder="1" applyAlignment="1">
      <alignment horizontal="center"/>
    </xf>
    <xf numFmtId="0" fontId="13" fillId="5" borderId="0" xfId="1" applyFont="1" applyFill="1" applyBorder="1"/>
    <xf numFmtId="0" fontId="13" fillId="5" borderId="0" xfId="1" applyFont="1" applyFill="1" applyBorder="1" applyAlignment="1">
      <alignment horizontal="center"/>
    </xf>
    <xf numFmtId="0" fontId="14" fillId="5" borderId="0" xfId="1" applyFont="1" applyFill="1" applyBorder="1"/>
    <xf numFmtId="0" fontId="13" fillId="5" borderId="0" xfId="1" applyFont="1" applyFill="1" applyBorder="1" applyAlignment="1">
      <alignment vertical="center"/>
    </xf>
    <xf numFmtId="0" fontId="13" fillId="5" borderId="0" xfId="1" applyFont="1" applyFill="1" applyBorder="1" applyAlignment="1">
      <alignment horizontal="right"/>
    </xf>
    <xf numFmtId="0" fontId="13" fillId="5" borderId="0" xfId="1" applyFont="1" applyFill="1" applyBorder="1" applyAlignment="1"/>
    <xf numFmtId="0" fontId="14" fillId="5" borderId="0" xfId="1" applyFont="1" applyFill="1" applyBorder="1" applyAlignment="1"/>
    <xf numFmtId="0" fontId="14" fillId="5" borderId="15" xfId="1" applyFont="1" applyFill="1" applyBorder="1" applyAlignment="1">
      <alignment horizontal="left"/>
    </xf>
    <xf numFmtId="0" fontId="14" fillId="5" borderId="15" xfId="1" applyFont="1" applyFill="1" applyBorder="1"/>
    <xf numFmtId="0" fontId="14" fillId="5" borderId="12" xfId="1" applyFont="1" applyFill="1" applyBorder="1"/>
    <xf numFmtId="164" fontId="13" fillId="15" borderId="22" xfId="1" applyNumberFormat="1" applyFont="1" applyFill="1" applyBorder="1" applyAlignment="1">
      <alignment horizontal="center"/>
    </xf>
    <xf numFmtId="0" fontId="14" fillId="5" borderId="21" xfId="1" applyFont="1" applyFill="1" applyBorder="1" applyAlignment="1">
      <alignment horizontal="left"/>
    </xf>
    <xf numFmtId="165" fontId="13" fillId="15" borderId="22" xfId="3" applyNumberFormat="1" applyFont="1" applyFill="1" applyBorder="1" applyAlignment="1">
      <alignment horizontal="center"/>
    </xf>
    <xf numFmtId="0" fontId="14" fillId="5" borderId="21" xfId="1" applyFont="1" applyFill="1" applyBorder="1"/>
    <xf numFmtId="9" fontId="28" fillId="15" borderId="22" xfId="1" applyNumberFormat="1" applyFont="1" applyFill="1" applyBorder="1" applyAlignment="1">
      <alignment horizontal="center"/>
    </xf>
    <xf numFmtId="0" fontId="13" fillId="5" borderId="21" xfId="1" applyFont="1" applyFill="1" applyBorder="1"/>
    <xf numFmtId="0" fontId="13" fillId="5" borderId="21" xfId="1" applyFont="1" applyFill="1" applyBorder="1" applyAlignment="1">
      <alignment horizontal="center"/>
    </xf>
    <xf numFmtId="0" fontId="14" fillId="11" borderId="22" xfId="1" applyFont="1" applyFill="1" applyBorder="1" applyAlignment="1">
      <alignment horizontal="center"/>
    </xf>
    <xf numFmtId="0" fontId="13" fillId="5" borderId="21" xfId="1" applyFont="1" applyFill="1" applyBorder="1" applyAlignment="1">
      <alignment vertical="center"/>
    </xf>
    <xf numFmtId="0" fontId="13" fillId="5" borderId="21" xfId="1" applyFont="1" applyFill="1" applyBorder="1" applyAlignment="1"/>
    <xf numFmtId="0" fontId="14" fillId="5" borderId="21" xfId="1" applyFont="1" applyFill="1" applyBorder="1" applyAlignment="1"/>
    <xf numFmtId="164" fontId="13" fillId="11" borderId="22" xfId="2" applyNumberFormat="1" applyFont="1" applyFill="1" applyBorder="1" applyAlignment="1">
      <alignment horizontal="center"/>
    </xf>
    <xf numFmtId="44" fontId="13" fillId="11" borderId="22" xfId="1" applyNumberFormat="1" applyFont="1" applyFill="1" applyBorder="1"/>
    <xf numFmtId="0" fontId="13" fillId="5" borderId="21" xfId="1" applyFont="1" applyFill="1" applyBorder="1" applyAlignment="1">
      <alignment horizontal="right"/>
    </xf>
    <xf numFmtId="164" fontId="13" fillId="11" borderId="22" xfId="1" applyNumberFormat="1" applyFont="1" applyFill="1" applyBorder="1"/>
    <xf numFmtId="164" fontId="13" fillId="11" borderId="22" xfId="2" applyNumberFormat="1" applyFont="1" applyFill="1" applyBorder="1"/>
    <xf numFmtId="42" fontId="13" fillId="11" borderId="22" xfId="1" applyNumberFormat="1" applyFont="1" applyFill="1" applyBorder="1" applyAlignment="1">
      <alignment horizontal="center"/>
    </xf>
    <xf numFmtId="1" fontId="13" fillId="12" borderId="0" xfId="4" applyNumberFormat="1" applyFont="1" applyFill="1" applyBorder="1"/>
    <xf numFmtId="1" fontId="13" fillId="13" borderId="0" xfId="4" applyNumberFormat="1" applyFont="1" applyFill="1" applyBorder="1"/>
    <xf numFmtId="1" fontId="13" fillId="11" borderId="0" xfId="4" applyNumberFormat="1" applyFont="1" applyFill="1" applyBorder="1"/>
    <xf numFmtId="3" fontId="13" fillId="12" borderId="0" xfId="1" applyNumberFormat="1" applyFont="1" applyFill="1" applyBorder="1"/>
    <xf numFmtId="3" fontId="13" fillId="13" borderId="0" xfId="1" applyNumberFormat="1" applyFont="1" applyFill="1" applyBorder="1"/>
    <xf numFmtId="3" fontId="13" fillId="11" borderId="0" xfId="1" applyNumberFormat="1" applyFont="1" applyFill="1" applyBorder="1"/>
    <xf numFmtId="0" fontId="13" fillId="12" borderId="0" xfId="1" applyNumberFormat="1" applyFont="1" applyFill="1" applyBorder="1"/>
    <xf numFmtId="0" fontId="13" fillId="13" borderId="0" xfId="1" applyNumberFormat="1" applyFont="1" applyFill="1" applyBorder="1"/>
    <xf numFmtId="0" fontId="13" fillId="11" borderId="0" xfId="1" applyNumberFormat="1" applyFont="1" applyFill="1" applyBorder="1"/>
    <xf numFmtId="43" fontId="13" fillId="12" borderId="0" xfId="1" applyNumberFormat="1" applyFont="1" applyFill="1" applyBorder="1"/>
    <xf numFmtId="43" fontId="13" fillId="13" borderId="0" xfId="1" applyNumberFormat="1" applyFont="1" applyFill="1" applyBorder="1"/>
    <xf numFmtId="43" fontId="13" fillId="11" borderId="0" xfId="1" applyNumberFormat="1" applyFont="1" applyFill="1" applyBorder="1"/>
    <xf numFmtId="1" fontId="13" fillId="11" borderId="22" xfId="4" applyNumberFormat="1" applyFont="1" applyFill="1" applyBorder="1"/>
    <xf numFmtId="3" fontId="13" fillId="11" borderId="22" xfId="1" applyNumberFormat="1" applyFont="1" applyFill="1" applyBorder="1"/>
    <xf numFmtId="0" fontId="13" fillId="11" borderId="22" xfId="1" applyNumberFormat="1" applyFont="1" applyFill="1" applyBorder="1"/>
    <xf numFmtId="43" fontId="13" fillId="11" borderId="22" xfId="1" applyNumberFormat="1" applyFont="1" applyFill="1" applyBorder="1"/>
    <xf numFmtId="3" fontId="13" fillId="12" borderId="16" xfId="1" applyNumberFormat="1" applyFont="1" applyFill="1" applyBorder="1"/>
    <xf numFmtId="3" fontId="13" fillId="13" borderId="16" xfId="1" applyNumberFormat="1" applyFont="1" applyFill="1" applyBorder="1"/>
    <xf numFmtId="3" fontId="13" fillId="11" borderId="16" xfId="1" applyNumberFormat="1" applyFont="1" applyFill="1" applyBorder="1"/>
    <xf numFmtId="3" fontId="13" fillId="11" borderId="17" xfId="1" applyNumberFormat="1" applyFont="1" applyFill="1" applyBorder="1"/>
    <xf numFmtId="0" fontId="14" fillId="0" borderId="15" xfId="1" applyFont="1" applyBorder="1" applyAlignment="1"/>
    <xf numFmtId="0" fontId="14" fillId="0" borderId="16" xfId="1" applyFont="1" applyBorder="1" applyAlignment="1"/>
    <xf numFmtId="0" fontId="13" fillId="5" borderId="16" xfId="1" applyFont="1" applyFill="1" applyBorder="1"/>
    <xf numFmtId="0" fontId="13" fillId="5" borderId="13" xfId="1" applyFont="1" applyFill="1" applyBorder="1"/>
    <xf numFmtId="164" fontId="13" fillId="15" borderId="14" xfId="2" applyNumberFormat="1" applyFont="1" applyFill="1" applyBorder="1"/>
    <xf numFmtId="0" fontId="14" fillId="15" borderId="0" xfId="1" applyFont="1" applyFill="1" applyBorder="1" applyAlignment="1"/>
    <xf numFmtId="3" fontId="13" fillId="15" borderId="0" xfId="1" applyNumberFormat="1" applyFont="1" applyFill="1" applyBorder="1" applyAlignment="1"/>
    <xf numFmtId="3" fontId="13" fillId="15" borderId="0" xfId="1" applyNumberFormat="1" applyFont="1" applyFill="1" applyBorder="1" applyAlignment="1">
      <alignment horizontal="right"/>
    </xf>
    <xf numFmtId="0" fontId="13" fillId="5" borderId="22" xfId="1" applyFont="1" applyFill="1" applyBorder="1" applyAlignment="1"/>
    <xf numFmtId="0" fontId="14" fillId="5" borderId="22" xfId="1" applyFont="1" applyFill="1" applyBorder="1" applyAlignment="1"/>
    <xf numFmtId="0" fontId="14" fillId="5" borderId="21" xfId="1" applyFont="1" applyFill="1" applyBorder="1" applyAlignment="1">
      <alignment vertical="center"/>
    </xf>
    <xf numFmtId="9" fontId="13" fillId="15" borderId="22" xfId="3" applyFont="1" applyFill="1" applyBorder="1" applyAlignment="1">
      <alignment horizontal="right"/>
    </xf>
    <xf numFmtId="9" fontId="13" fillId="15" borderId="22" xfId="3" applyFont="1" applyFill="1" applyBorder="1" applyAlignment="1"/>
    <xf numFmtId="0" fontId="13" fillId="5" borderId="21" xfId="1" applyFont="1" applyFill="1" applyBorder="1" applyAlignment="1">
      <alignment horizontal="right" vertical="center"/>
    </xf>
    <xf numFmtId="0" fontId="14" fillId="5" borderId="20" xfId="1" applyFont="1" applyFill="1" applyBorder="1"/>
    <xf numFmtId="0" fontId="12" fillId="15" borderId="18" xfId="1" applyFont="1" applyFill="1" applyBorder="1" applyAlignment="1"/>
    <xf numFmtId="0" fontId="13" fillId="5" borderId="18" xfId="1" applyFont="1" applyFill="1" applyBorder="1" applyAlignment="1"/>
    <xf numFmtId="0" fontId="13" fillId="5" borderId="19" xfId="1" applyFont="1" applyFill="1" applyBorder="1" applyAlignment="1"/>
    <xf numFmtId="0" fontId="14" fillId="5" borderId="20" xfId="1" applyFont="1" applyFill="1" applyBorder="1" applyAlignment="1"/>
    <xf numFmtId="0" fontId="13" fillId="15" borderId="18" xfId="1" applyFont="1" applyFill="1" applyBorder="1" applyAlignment="1"/>
    <xf numFmtId="9" fontId="13" fillId="15" borderId="19" xfId="1" applyNumberFormat="1" applyFont="1" applyFill="1" applyBorder="1" applyAlignment="1"/>
    <xf numFmtId="0" fontId="13" fillId="5" borderId="54" xfId="1" applyFont="1" applyFill="1" applyBorder="1"/>
    <xf numFmtId="164" fontId="13" fillId="5" borderId="54" xfId="1" applyNumberFormat="1" applyFont="1" applyFill="1" applyBorder="1"/>
    <xf numFmtId="0" fontId="13" fillId="5" borderId="55" xfId="0" applyFont="1" applyFill="1" applyBorder="1"/>
    <xf numFmtId="0" fontId="13" fillId="5" borderId="22" xfId="1" applyFont="1" applyFill="1" applyBorder="1"/>
    <xf numFmtId="0" fontId="13" fillId="5" borderId="61" xfId="1" applyFont="1" applyFill="1" applyBorder="1"/>
    <xf numFmtId="0" fontId="13" fillId="12" borderId="61" xfId="1" applyFont="1" applyFill="1" applyBorder="1"/>
    <xf numFmtId="0" fontId="13" fillId="13" borderId="61" xfId="1" applyFont="1" applyFill="1" applyBorder="1"/>
    <xf numFmtId="0" fontId="13" fillId="11" borderId="61" xfId="1" applyFont="1" applyFill="1" applyBorder="1"/>
    <xf numFmtId="0" fontId="13" fillId="5" borderId="67" xfId="1" applyFont="1" applyFill="1" applyBorder="1"/>
    <xf numFmtId="0" fontId="13" fillId="5" borderId="33" xfId="1" applyFont="1" applyFill="1" applyBorder="1"/>
    <xf numFmtId="0" fontId="13" fillId="12" borderId="33" xfId="1" applyFont="1" applyFill="1" applyBorder="1"/>
    <xf numFmtId="0" fontId="13" fillId="13" borderId="33" xfId="1" applyFont="1" applyFill="1" applyBorder="1"/>
    <xf numFmtId="0" fontId="13" fillId="11" borderId="33" xfId="1" applyFont="1" applyFill="1" applyBorder="1"/>
    <xf numFmtId="0" fontId="13" fillId="13" borderId="53" xfId="1" applyFont="1" applyFill="1" applyBorder="1"/>
    <xf numFmtId="0" fontId="13" fillId="5" borderId="69" xfId="1" applyFont="1" applyFill="1" applyBorder="1" applyAlignment="1"/>
    <xf numFmtId="0" fontId="13" fillId="5" borderId="69" xfId="1" applyFont="1" applyFill="1" applyBorder="1"/>
    <xf numFmtId="0" fontId="13" fillId="5" borderId="68" xfId="1" applyFont="1" applyFill="1" applyBorder="1" applyAlignment="1"/>
    <xf numFmtId="0" fontId="13" fillId="5" borderId="69" xfId="1" applyFont="1" applyFill="1" applyBorder="1" applyAlignment="1">
      <alignment horizontal="right"/>
    </xf>
    <xf numFmtId="0" fontId="14" fillId="5" borderId="69" xfId="1" applyFont="1" applyFill="1" applyBorder="1"/>
    <xf numFmtId="0" fontId="14" fillId="5" borderId="69" xfId="1" applyFont="1" applyFill="1" applyBorder="1" applyAlignment="1">
      <alignment horizontal="right"/>
    </xf>
    <xf numFmtId="0" fontId="14" fillId="5" borderId="70" xfId="1" applyFont="1" applyFill="1" applyBorder="1" applyAlignment="1">
      <alignment horizontal="right"/>
    </xf>
    <xf numFmtId="0" fontId="14" fillId="12" borderId="69" xfId="1" applyFont="1" applyFill="1" applyBorder="1" applyAlignment="1">
      <alignment horizontal="center"/>
    </xf>
    <xf numFmtId="0" fontId="13" fillId="12" borderId="69" xfId="1" applyFont="1" applyFill="1" applyBorder="1"/>
    <xf numFmtId="1" fontId="13" fillId="12" borderId="69" xfId="4" applyNumberFormat="1" applyFont="1" applyFill="1" applyBorder="1"/>
    <xf numFmtId="3" fontId="13" fillId="12" borderId="69" xfId="1" applyNumberFormat="1" applyFont="1" applyFill="1" applyBorder="1"/>
    <xf numFmtId="0" fontId="13" fillId="12" borderId="69" xfId="1" applyNumberFormat="1" applyFont="1" applyFill="1" applyBorder="1"/>
    <xf numFmtId="43" fontId="13" fillId="12" borderId="69" xfId="1" applyNumberFormat="1" applyFont="1" applyFill="1" applyBorder="1"/>
    <xf numFmtId="3" fontId="13" fillId="12" borderId="68" xfId="1" applyNumberFormat="1" applyFont="1" applyFill="1" applyBorder="1"/>
    <xf numFmtId="0" fontId="14" fillId="13" borderId="69" xfId="1" applyFont="1" applyFill="1" applyBorder="1" applyAlignment="1">
      <alignment horizontal="center"/>
    </xf>
    <xf numFmtId="0" fontId="13" fillId="13" borderId="69" xfId="1" applyFont="1" applyFill="1" applyBorder="1"/>
    <xf numFmtId="1" fontId="13" fillId="13" borderId="69" xfId="4" applyNumberFormat="1" applyFont="1" applyFill="1" applyBorder="1"/>
    <xf numFmtId="3" fontId="13" fillId="13" borderId="69" xfId="1" applyNumberFormat="1" applyFont="1" applyFill="1" applyBorder="1"/>
    <xf numFmtId="0" fontId="13" fillId="13" borderId="69" xfId="1" applyNumberFormat="1" applyFont="1" applyFill="1" applyBorder="1"/>
    <xf numFmtId="43" fontId="13" fillId="13" borderId="69" xfId="1" applyNumberFormat="1" applyFont="1" applyFill="1" applyBorder="1"/>
    <xf numFmtId="3" fontId="13" fillId="13" borderId="68" xfId="1" applyNumberFormat="1" applyFont="1" applyFill="1" applyBorder="1"/>
    <xf numFmtId="0" fontId="13" fillId="5" borderId="69" xfId="1" applyFont="1" applyFill="1" applyBorder="1" applyAlignment="1">
      <alignment horizontal="center"/>
    </xf>
    <xf numFmtId="1" fontId="13" fillId="5" borderId="69" xfId="1" applyNumberFormat="1" applyFont="1" applyFill="1" applyBorder="1" applyAlignment="1">
      <alignment horizontal="center"/>
    </xf>
    <xf numFmtId="0" fontId="13" fillId="0" borderId="68" xfId="1" applyFont="1" applyBorder="1" applyAlignment="1">
      <alignment horizontal="center"/>
    </xf>
    <xf numFmtId="0" fontId="11" fillId="2" borderId="71" xfId="1" applyFont="1" applyFill="1" applyBorder="1" applyAlignment="1">
      <alignment vertical="center"/>
    </xf>
    <xf numFmtId="0" fontId="14" fillId="5" borderId="69" xfId="1" applyFont="1" applyFill="1" applyBorder="1" applyAlignment="1"/>
    <xf numFmtId="0" fontId="14" fillId="5" borderId="69" xfId="1" applyFont="1" applyFill="1" applyBorder="1" applyAlignment="1">
      <alignment horizontal="left"/>
    </xf>
    <xf numFmtId="10" fontId="27" fillId="5" borderId="69" xfId="3" applyNumberFormat="1" applyFont="1" applyFill="1" applyBorder="1"/>
    <xf numFmtId="9" fontId="27" fillId="5" borderId="69" xfId="3" applyFont="1" applyFill="1" applyBorder="1" applyAlignment="1"/>
    <xf numFmtId="0" fontId="14" fillId="5" borderId="68" xfId="1" applyFont="1" applyFill="1" applyBorder="1" applyAlignment="1">
      <alignment horizontal="right"/>
    </xf>
    <xf numFmtId="0" fontId="14" fillId="5" borderId="68" xfId="1" applyFont="1" applyFill="1" applyBorder="1"/>
    <xf numFmtId="0" fontId="13" fillId="14" borderId="33" xfId="1" applyFont="1" applyFill="1" applyBorder="1" applyAlignment="1">
      <alignment horizontal="left"/>
    </xf>
    <xf numFmtId="0" fontId="14" fillId="14" borderId="33" xfId="1" applyFont="1" applyFill="1" applyBorder="1" applyAlignment="1">
      <alignment horizontal="center"/>
    </xf>
    <xf numFmtId="164" fontId="13" fillId="14" borderId="33" xfId="1" applyNumberFormat="1" applyFont="1" applyFill="1" applyBorder="1" applyAlignment="1">
      <alignment horizontal="center"/>
    </xf>
    <xf numFmtId="44" fontId="13" fillId="14" borderId="33" xfId="1" applyNumberFormat="1" applyFont="1" applyFill="1" applyBorder="1" applyAlignment="1">
      <alignment horizontal="center"/>
    </xf>
    <xf numFmtId="0" fontId="13" fillId="14" borderId="33" xfId="1" applyFont="1" applyFill="1" applyBorder="1" applyAlignment="1">
      <alignment horizontal="center"/>
    </xf>
    <xf numFmtId="164" fontId="13" fillId="14" borderId="33" xfId="2" applyNumberFormat="1" applyFont="1" applyFill="1" applyBorder="1" applyAlignment="1">
      <alignment horizontal="center"/>
    </xf>
    <xf numFmtId="164" fontId="27" fillId="14" borderId="33" xfId="2" applyNumberFormat="1" applyFont="1" applyFill="1" applyBorder="1" applyAlignment="1">
      <alignment horizontal="center"/>
    </xf>
    <xf numFmtId="9" fontId="13" fillId="14" borderId="33" xfId="1" applyNumberFormat="1" applyFont="1" applyFill="1" applyBorder="1" applyAlignment="1">
      <alignment horizontal="center"/>
    </xf>
    <xf numFmtId="42" fontId="13" fillId="14" borderId="33" xfId="1" applyNumberFormat="1" applyFont="1" applyFill="1" applyBorder="1" applyAlignment="1">
      <alignment horizontal="center"/>
    </xf>
    <xf numFmtId="42" fontId="13" fillId="14" borderId="72" xfId="1" applyNumberFormat="1" applyFont="1" applyFill="1" applyBorder="1" applyAlignment="1">
      <alignment horizontal="center"/>
    </xf>
    <xf numFmtId="164" fontId="13" fillId="12" borderId="69" xfId="1" applyNumberFormat="1" applyFont="1" applyFill="1" applyBorder="1" applyAlignment="1">
      <alignment horizontal="center"/>
    </xf>
    <xf numFmtId="164" fontId="13" fillId="12" borderId="69" xfId="2" applyNumberFormat="1" applyFont="1" applyFill="1" applyBorder="1" applyAlignment="1">
      <alignment horizontal="center"/>
    </xf>
    <xf numFmtId="44" fontId="13" fillId="12" borderId="69" xfId="1" applyNumberFormat="1" applyFont="1" applyFill="1" applyBorder="1"/>
    <xf numFmtId="42" fontId="13" fillId="12" borderId="69" xfId="1" applyNumberFormat="1" applyFont="1" applyFill="1" applyBorder="1" applyAlignment="1">
      <alignment horizontal="center"/>
    </xf>
    <xf numFmtId="42" fontId="13" fillId="12" borderId="68" xfId="1" applyNumberFormat="1" applyFont="1" applyFill="1" applyBorder="1" applyAlignment="1">
      <alignment horizontal="center"/>
    </xf>
    <xf numFmtId="164" fontId="13" fillId="13" borderId="69" xfId="1" applyNumberFormat="1" applyFont="1" applyFill="1" applyBorder="1" applyAlignment="1">
      <alignment horizontal="center"/>
    </xf>
    <xf numFmtId="164" fontId="13" fillId="13" borderId="69" xfId="2" applyNumberFormat="1" applyFont="1" applyFill="1" applyBorder="1" applyAlignment="1">
      <alignment horizontal="center"/>
    </xf>
    <xf numFmtId="44" fontId="13" fillId="13" borderId="69" xfId="1" applyNumberFormat="1" applyFont="1" applyFill="1" applyBorder="1"/>
    <xf numFmtId="42" fontId="13" fillId="13" borderId="69" xfId="1" applyNumberFormat="1" applyFont="1" applyFill="1" applyBorder="1" applyAlignment="1">
      <alignment horizontal="center"/>
    </xf>
    <xf numFmtId="42" fontId="13" fillId="13" borderId="68" xfId="1" applyNumberFormat="1" applyFont="1" applyFill="1" applyBorder="1" applyAlignment="1">
      <alignment horizontal="center"/>
    </xf>
    <xf numFmtId="0" fontId="11" fillId="2" borderId="13" xfId="1" applyFont="1" applyFill="1" applyBorder="1" applyAlignment="1">
      <alignment horizontal="right" vertical="center"/>
    </xf>
    <xf numFmtId="164" fontId="13" fillId="15" borderId="73" xfId="1" applyNumberFormat="1" applyFont="1" applyFill="1" applyBorder="1" applyAlignment="1"/>
    <xf numFmtId="0" fontId="14" fillId="15" borderId="73" xfId="1" applyFont="1" applyFill="1" applyBorder="1" applyAlignment="1"/>
    <xf numFmtId="164" fontId="13" fillId="15" borderId="73" xfId="2" applyNumberFormat="1" applyFont="1" applyFill="1" applyBorder="1" applyAlignment="1"/>
    <xf numFmtId="164" fontId="13" fillId="15" borderId="74" xfId="1" applyNumberFormat="1" applyFont="1" applyFill="1" applyBorder="1" applyAlignment="1"/>
    <xf numFmtId="44" fontId="3" fillId="14" borderId="75" xfId="0" applyNumberFormat="1" applyFont="1" applyFill="1" applyBorder="1" applyAlignment="1">
      <alignment horizontal="right"/>
    </xf>
    <xf numFmtId="44" fontId="3" fillId="12" borderId="75" xfId="0" applyNumberFormat="1" applyFont="1" applyFill="1" applyBorder="1" applyAlignment="1">
      <alignment horizontal="right"/>
    </xf>
    <xf numFmtId="44" fontId="3" fillId="13" borderId="75" xfId="0" applyNumberFormat="1" applyFont="1" applyFill="1" applyBorder="1" applyAlignment="1">
      <alignment horizontal="right"/>
    </xf>
    <xf numFmtId="44" fontId="3" fillId="11" borderId="75" xfId="0" applyNumberFormat="1" applyFont="1" applyFill="1" applyBorder="1" applyAlignment="1">
      <alignment horizontal="right"/>
    </xf>
    <xf numFmtId="9" fontId="23" fillId="0" borderId="76" xfId="0" applyNumberFormat="1" applyFont="1" applyFill="1" applyBorder="1"/>
    <xf numFmtId="9" fontId="3" fillId="0" borderId="66" xfId="3" applyFont="1" applyBorder="1" applyAlignment="1">
      <alignment horizontal="center"/>
    </xf>
    <xf numFmtId="9" fontId="3" fillId="0" borderId="77" xfId="3" applyFont="1" applyBorder="1" applyAlignment="1">
      <alignment horizontal="center"/>
    </xf>
    <xf numFmtId="0" fontId="3" fillId="0" borderId="15" xfId="0" applyFont="1" applyBorder="1"/>
    <xf numFmtId="9" fontId="3" fillId="0" borderId="78" xfId="0" applyNumberFormat="1" applyFont="1" applyBorder="1" applyAlignment="1">
      <alignment horizontal="center"/>
    </xf>
    <xf numFmtId="0" fontId="3" fillId="0" borderId="21" xfId="0" applyFont="1" applyBorder="1"/>
    <xf numFmtId="0" fontId="3" fillId="0" borderId="72" xfId="0" applyFont="1" applyBorder="1"/>
    <xf numFmtId="0" fontId="3" fillId="0" borderId="21" xfId="0" applyFont="1" applyBorder="1" applyAlignment="1">
      <alignment horizontal="right"/>
    </xf>
    <xf numFmtId="9" fontId="3" fillId="0" borderId="77" xfId="0" applyNumberFormat="1" applyFont="1" applyBorder="1" applyAlignment="1">
      <alignment horizontal="center"/>
    </xf>
    <xf numFmtId="0" fontId="14" fillId="5" borderId="28" xfId="1" applyFont="1" applyFill="1" applyBorder="1" applyAlignment="1">
      <alignment wrapText="1"/>
    </xf>
    <xf numFmtId="0" fontId="14" fillId="5" borderId="79" xfId="1" applyFont="1" applyFill="1" applyBorder="1" applyAlignment="1">
      <alignment wrapText="1"/>
    </xf>
    <xf numFmtId="0" fontId="14" fillId="5" borderId="1" xfId="1" applyFont="1" applyFill="1" applyBorder="1" applyAlignment="1">
      <alignment wrapText="1"/>
    </xf>
    <xf numFmtId="0" fontId="13" fillId="5" borderId="1" xfId="1" applyFont="1" applyFill="1" applyBorder="1" applyAlignment="1">
      <alignment wrapText="1"/>
    </xf>
    <xf numFmtId="0" fontId="14" fillId="5" borderId="80" xfId="1" applyFont="1" applyFill="1" applyBorder="1" applyAlignment="1">
      <alignment wrapText="1"/>
    </xf>
    <xf numFmtId="0" fontId="13" fillId="5" borderId="29" xfId="1" applyFont="1" applyFill="1" applyBorder="1" applyAlignment="1">
      <alignment wrapText="1"/>
    </xf>
    <xf numFmtId="0" fontId="15" fillId="5" borderId="28" xfId="1" applyFont="1" applyFill="1" applyBorder="1" applyAlignment="1">
      <alignment wrapText="1"/>
    </xf>
    <xf numFmtId="0" fontId="13" fillId="5" borderId="79" xfId="1" applyFont="1" applyFill="1" applyBorder="1" applyAlignment="1">
      <alignment wrapText="1"/>
    </xf>
    <xf numFmtId="0" fontId="14" fillId="5" borderId="29" xfId="1" applyFont="1" applyFill="1" applyBorder="1" applyAlignment="1">
      <alignment wrapText="1"/>
    </xf>
    <xf numFmtId="0" fontId="13" fillId="5" borderId="1" xfId="1" applyFont="1" applyFill="1" applyBorder="1" applyAlignment="1">
      <alignment horizontal="center"/>
    </xf>
    <xf numFmtId="0" fontId="14" fillId="5" borderId="79" xfId="1" applyFont="1" applyFill="1" applyBorder="1" applyAlignment="1">
      <alignment horizontal="right"/>
    </xf>
    <xf numFmtId="0" fontId="14" fillId="12" borderId="79" xfId="1" applyFont="1" applyFill="1" applyBorder="1" applyAlignment="1">
      <alignment horizontal="center"/>
    </xf>
    <xf numFmtId="0" fontId="14" fillId="13" borderId="79" xfId="1" applyFont="1" applyFill="1" applyBorder="1" applyAlignment="1">
      <alignment horizontal="center"/>
    </xf>
    <xf numFmtId="0" fontId="14" fillId="11" borderId="1" xfId="1" applyFont="1" applyFill="1" applyBorder="1" applyAlignment="1"/>
    <xf numFmtId="0" fontId="11" fillId="2" borderId="12" xfId="1" applyFont="1" applyFill="1" applyBorder="1" applyAlignment="1">
      <alignment horizontal="left" vertical="center"/>
    </xf>
    <xf numFmtId="0" fontId="11" fillId="2" borderId="13" xfId="1" applyFont="1" applyFill="1" applyBorder="1" applyAlignment="1">
      <alignment horizontal="left" vertical="center"/>
    </xf>
    <xf numFmtId="0" fontId="11" fillId="2" borderId="14" xfId="1" applyFont="1" applyFill="1" applyBorder="1" applyAlignment="1">
      <alignment horizontal="left" vertical="center"/>
    </xf>
    <xf numFmtId="0" fontId="3" fillId="0" borderId="4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4" fillId="0" borderId="43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3" fillId="0" borderId="39" xfId="0" applyFont="1" applyBorder="1" applyAlignment="1">
      <alignment horizontal="right" vertical="center"/>
    </xf>
    <xf numFmtId="0" fontId="3" fillId="0" borderId="41" xfId="0" applyFont="1" applyBorder="1" applyAlignment="1">
      <alignment horizontal="right" vertical="center"/>
    </xf>
    <xf numFmtId="0" fontId="37" fillId="12" borderId="25" xfId="0" applyFont="1" applyFill="1" applyBorder="1"/>
    <xf numFmtId="3" fontId="37" fillId="12" borderId="25" xfId="0" applyNumberFormat="1" applyFont="1" applyFill="1" applyBorder="1" applyAlignment="1">
      <alignment horizontal="center"/>
    </xf>
    <xf numFmtId="3" fontId="37" fillId="12" borderId="25" xfId="0" applyNumberFormat="1" applyFont="1" applyFill="1" applyBorder="1" applyAlignment="1">
      <alignment horizontal="left" indent="1"/>
    </xf>
    <xf numFmtId="0" fontId="37" fillId="13" borderId="25" xfId="0" applyFont="1" applyFill="1" applyBorder="1" applyAlignment="1">
      <alignment horizontal="center"/>
    </xf>
    <xf numFmtId="3" fontId="37" fillId="13" borderId="25" xfId="0" applyNumberFormat="1" applyFont="1" applyFill="1" applyBorder="1" applyAlignment="1">
      <alignment horizontal="center"/>
    </xf>
    <xf numFmtId="3" fontId="37" fillId="11" borderId="25" xfId="0" applyNumberFormat="1" applyFont="1" applyFill="1" applyBorder="1" applyAlignment="1">
      <alignment horizontal="center"/>
    </xf>
    <xf numFmtId="0" fontId="37" fillId="11" borderId="25" xfId="0" applyFont="1" applyFill="1" applyBorder="1" applyAlignment="1">
      <alignment horizontal="center"/>
    </xf>
    <xf numFmtId="0" fontId="37" fillId="11" borderId="25" xfId="0" applyFont="1" applyFill="1" applyBorder="1"/>
    <xf numFmtId="3" fontId="37" fillId="11" borderId="25" xfId="0" applyNumberFormat="1" applyFont="1" applyFill="1" applyBorder="1"/>
  </cellXfs>
  <cellStyles count="5">
    <cellStyle name="Comma" xfId="4" builtinId="3"/>
    <cellStyle name="Currency" xfId="2" builtinId="4"/>
    <cellStyle name="Normal" xfId="0" builtinId="0"/>
    <cellStyle name="Normal 2" xfId="1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xandervelaise\Downloads\181430_Montage-Pro-For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ildingSummary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1"/>
  <sheetViews>
    <sheetView showWhiteSpace="0" zoomScaleNormal="100" zoomScaleSheetLayoutView="55" workbookViewId="0">
      <selection activeCell="A2" sqref="A2:M105"/>
    </sheetView>
  </sheetViews>
  <sheetFormatPr defaultColWidth="9.140625" defaultRowHeight="14.1" customHeight="1" x14ac:dyDescent="0.2"/>
  <cols>
    <col min="1" max="2" width="14.85546875" style="58" customWidth="1"/>
    <col min="3" max="3" width="14.85546875" style="59" customWidth="1"/>
    <col min="4" max="13" width="14.85546875" style="58" customWidth="1"/>
    <col min="14" max="16384" width="9.140625" style="58"/>
  </cols>
  <sheetData>
    <row r="1" spans="1:13" ht="14.1" customHeight="1" thickBot="1" x14ac:dyDescent="0.3">
      <c r="A1" s="92"/>
      <c r="B1" s="94"/>
    </row>
    <row r="2" spans="1:13" s="57" customFormat="1" ht="13.5" customHeight="1" x14ac:dyDescent="0.2">
      <c r="A2" s="447" t="s">
        <v>72</v>
      </c>
      <c r="B2" s="947"/>
      <c r="C2" s="449"/>
      <c r="D2" s="453"/>
      <c r="E2" s="453"/>
      <c r="F2" s="453"/>
      <c r="G2" s="453"/>
      <c r="H2" s="453"/>
      <c r="I2" s="453"/>
      <c r="J2" s="453"/>
      <c r="K2" s="453"/>
      <c r="L2" s="974" t="s">
        <v>71</v>
      </c>
      <c r="M2" s="822">
        <v>198923</v>
      </c>
    </row>
    <row r="3" spans="1:13" ht="11.25" customHeight="1" x14ac:dyDescent="0.2">
      <c r="A3" s="856"/>
      <c r="B3" s="924"/>
      <c r="C3" s="954" t="s">
        <v>100</v>
      </c>
      <c r="D3" s="825" t="s">
        <v>56</v>
      </c>
      <c r="E3" s="826"/>
      <c r="F3" s="931"/>
      <c r="G3" s="410" t="s">
        <v>124</v>
      </c>
      <c r="H3" s="410"/>
      <c r="I3" s="938"/>
      <c r="J3" s="407" t="s">
        <v>125</v>
      </c>
      <c r="K3" s="407"/>
      <c r="L3" s="407"/>
      <c r="M3" s="456"/>
    </row>
    <row r="4" spans="1:13" ht="11.25" customHeight="1" x14ac:dyDescent="0.2">
      <c r="A4" s="857"/>
      <c r="B4" s="944"/>
      <c r="C4" s="955" t="s">
        <v>118</v>
      </c>
      <c r="D4" s="827">
        <v>2021</v>
      </c>
      <c r="E4" s="827">
        <f>D4+1</f>
        <v>2022</v>
      </c>
      <c r="F4" s="930">
        <f t="shared" ref="F4:K4" si="0">E4+1</f>
        <v>2023</v>
      </c>
      <c r="G4" s="828">
        <f t="shared" si="0"/>
        <v>2024</v>
      </c>
      <c r="H4" s="828">
        <f t="shared" si="0"/>
        <v>2025</v>
      </c>
      <c r="I4" s="937">
        <f t="shared" si="0"/>
        <v>2026</v>
      </c>
      <c r="J4" s="829">
        <f t="shared" si="0"/>
        <v>2027</v>
      </c>
      <c r="K4" s="829">
        <f t="shared" si="0"/>
        <v>2028</v>
      </c>
      <c r="L4" s="829">
        <f>K4+1</f>
        <v>2029</v>
      </c>
      <c r="M4" s="858">
        <f>L4+1</f>
        <v>2030</v>
      </c>
    </row>
    <row r="5" spans="1:13" ht="11.25" customHeight="1" x14ac:dyDescent="0.2">
      <c r="A5" s="854" t="s">
        <v>248</v>
      </c>
      <c r="B5" s="927"/>
      <c r="C5" s="955"/>
      <c r="D5" s="413"/>
      <c r="E5" s="413"/>
      <c r="F5" s="931"/>
      <c r="G5" s="410"/>
      <c r="H5" s="410"/>
      <c r="I5" s="938"/>
      <c r="J5" s="407"/>
      <c r="K5" s="407"/>
      <c r="L5" s="830"/>
      <c r="M5" s="456"/>
    </row>
    <row r="6" spans="1:13" ht="11.25" customHeight="1" x14ac:dyDescent="0.2">
      <c r="A6" s="859" t="s">
        <v>81</v>
      </c>
      <c r="B6" s="926" t="s">
        <v>74</v>
      </c>
      <c r="C6" s="956">
        <f>'2.Market-rate Rental Housing'!C17</f>
        <v>0</v>
      </c>
      <c r="D6" s="412">
        <f>'2.Market-rate Rental Housing'!D17</f>
        <v>1235582.7129082077</v>
      </c>
      <c r="E6" s="412">
        <f>'2.Market-rate Rental Housing'!E17</f>
        <v>2520588.7343327436</v>
      </c>
      <c r="F6" s="964">
        <f>'2.Market-rate Rental Housing'!F17</f>
        <v>2571000.5090193986</v>
      </c>
      <c r="G6" s="409">
        <f>'2.Market-rate Rental Housing'!G17</f>
        <v>3763388.2836986799</v>
      </c>
      <c r="H6" s="409">
        <f>'2.Market-rate Rental Housing'!H17</f>
        <v>5002443.1691615246</v>
      </c>
      <c r="I6" s="969">
        <f>'2.Market-rate Rental Housing'!I17</f>
        <v>5102492.0325447554</v>
      </c>
      <c r="J6" s="406">
        <f>'2.Market-rate Rental Housing'!J17</f>
        <v>5467106.2222839985</v>
      </c>
      <c r="K6" s="406">
        <f>'2.Market-rate Rental Housing'!K17</f>
        <v>5844263.9827997983</v>
      </c>
      <c r="L6" s="406">
        <f>'2.Market-rate Rental Housing'!L17</f>
        <v>5961149.2624557931</v>
      </c>
      <c r="M6" s="455">
        <f>'2.Market-rate Rental Housing'!M17</f>
        <v>6080372.2477049101</v>
      </c>
    </row>
    <row r="7" spans="1:13" ht="11.25" customHeight="1" x14ac:dyDescent="0.2">
      <c r="A7" s="859"/>
      <c r="B7" s="926" t="s">
        <v>75</v>
      </c>
      <c r="C7" s="957">
        <f>'3.Market-rate For-Sale Housing'!C17</f>
        <v>0</v>
      </c>
      <c r="D7" s="412">
        <f>'3.Market-rate For-Sale Housing'!D17</f>
        <v>49291863.546869993</v>
      </c>
      <c r="E7" s="412">
        <f>'3.Market-rate For-Sale Housing'!E17</f>
        <v>50277700.817807399</v>
      </c>
      <c r="F7" s="964">
        <f>'3.Market-rate For-Sale Housing'!F17</f>
        <v>0</v>
      </c>
      <c r="G7" s="409">
        <f>'3.Market-rate For-Sale Housing'!G17</f>
        <v>45517331.030540973</v>
      </c>
      <c r="H7" s="409">
        <f>'3.Market-rate For-Sale Housing'!H17</f>
        <v>46427677.651151791</v>
      </c>
      <c r="I7" s="969">
        <f>'3.Market-rate For-Sale Housing'!I17</f>
        <v>0</v>
      </c>
      <c r="J7" s="406">
        <f>'3.Market-rate For-Sale Housing'!J17</f>
        <v>10474641.585971408</v>
      </c>
      <c r="K7" s="406">
        <f>'3.Market-rate For-Sale Housing'!K17</f>
        <v>10684134.417690834</v>
      </c>
      <c r="L7" s="406">
        <f>'3.Market-rate For-Sale Housing'!L17</f>
        <v>0</v>
      </c>
      <c r="M7" s="455">
        <f>'3.Market-rate For-Sale Housing'!M17</f>
        <v>0</v>
      </c>
    </row>
    <row r="8" spans="1:13" ht="11.25" customHeight="1" x14ac:dyDescent="0.2">
      <c r="A8" s="859" t="s">
        <v>80</v>
      </c>
      <c r="B8" s="926" t="s">
        <v>74</v>
      </c>
      <c r="C8" s="956">
        <f>'4.Affordable Rental Housing'!C17</f>
        <v>0</v>
      </c>
      <c r="D8" s="412">
        <f>'4.Affordable Rental Housing'!D17</f>
        <v>178180.95859905597</v>
      </c>
      <c r="E8" s="412">
        <f>'4.Affordable Rental Housing'!E17</f>
        <v>181744.57777103709</v>
      </c>
      <c r="F8" s="964">
        <f>'4.Affordable Rental Housing'!F17</f>
        <v>185379.46932645777</v>
      </c>
      <c r="G8" s="409">
        <f>'4.Affordable Rental Housing'!G17</f>
        <v>271355.41998300178</v>
      </c>
      <c r="H8" s="409">
        <f>'4.Affordable Rental Housing'!H17</f>
        <v>360696.25687807694</v>
      </c>
      <c r="I8" s="969">
        <f>'4.Affordable Rental Housing'!I17</f>
        <v>367910.18201563851</v>
      </c>
      <c r="J8" s="406">
        <f>'4.Affordable Rental Housing'!J17</f>
        <v>394200.33044837357</v>
      </c>
      <c r="K8" s="406">
        <f>'4.Affordable Rental Housing'!K17</f>
        <v>421394.92074561195</v>
      </c>
      <c r="L8" s="406">
        <f>'4.Affordable Rental Housing'!L17</f>
        <v>429822.81916052412</v>
      </c>
      <c r="M8" s="455">
        <f>'4.Affordable Rental Housing'!M17</f>
        <v>438419.27554373455</v>
      </c>
    </row>
    <row r="9" spans="1:13" ht="11.25" customHeight="1" x14ac:dyDescent="0.2">
      <c r="A9" s="859"/>
      <c r="B9" s="926" t="s">
        <v>75</v>
      </c>
      <c r="C9" s="957">
        <f>'5.Affordable For-Sale Housing'!C17</f>
        <v>0</v>
      </c>
      <c r="D9" s="412">
        <f>'5.Affordable For-Sale Housing'!D17</f>
        <v>4419933.1835399996</v>
      </c>
      <c r="E9" s="412">
        <f>'5.Affordable For-Sale Housing'!E17</f>
        <v>4508331.8472107993</v>
      </c>
      <c r="F9" s="964">
        <f>'5.Affordable For-Sale Housing'!F17</f>
        <v>0</v>
      </c>
      <c r="G9" s="409">
        <f>'5.Affordable For-Sale Housing'!G17</f>
        <v>4081476.0768126412</v>
      </c>
      <c r="H9" s="409">
        <f>'5.Affordable For-Sale Housing'!H17</f>
        <v>4163105.5983488937</v>
      </c>
      <c r="I9" s="969">
        <f>'5.Affordable For-Sale Housing'!I17</f>
        <v>0</v>
      </c>
      <c r="J9" s="406">
        <f>'5.Affordable For-Sale Housing'!J17</f>
        <v>939246.61394675402</v>
      </c>
      <c r="K9" s="406">
        <f>'5.Affordable For-Sale Housing'!K17</f>
        <v>958031.54622568935</v>
      </c>
      <c r="L9" s="406">
        <f>'5.Affordable For-Sale Housing'!L17</f>
        <v>0</v>
      </c>
      <c r="M9" s="455">
        <f>'5.Affordable For-Sale Housing'!M17</f>
        <v>0</v>
      </c>
    </row>
    <row r="10" spans="1:13" ht="11.25" customHeight="1" x14ac:dyDescent="0.2">
      <c r="A10" s="860" t="s">
        <v>76</v>
      </c>
      <c r="B10" s="923"/>
      <c r="C10" s="957">
        <f>'6.Office_Commercial'!C17</f>
        <v>0</v>
      </c>
      <c r="D10" s="412">
        <f>'6.Office_Commercial'!D17</f>
        <v>17193692.590300802</v>
      </c>
      <c r="E10" s="412">
        <f>'6.Office_Commercial'!E17</f>
        <v>35075132.884213634</v>
      </c>
      <c r="F10" s="964">
        <f>'6.Office_Commercial'!F17</f>
        <v>35776635.541897908</v>
      </c>
      <c r="G10" s="409">
        <f>'6.Office_Commercial'!G17</f>
        <v>49526353.074401483</v>
      </c>
      <c r="H10" s="409">
        <f>'6.Office_Commercial'!H17</f>
        <v>63811748.653988451</v>
      </c>
      <c r="I10" s="969">
        <f>'6.Office_Commercial'!I17</f>
        <v>65087983.627068229</v>
      </c>
      <c r="J10" s="406">
        <f>'6.Office_Commercial'!J17</f>
        <v>70706565.28655535</v>
      </c>
      <c r="K10" s="406">
        <f>'6.Office_Commercial'!K17</f>
        <v>76523855.01897119</v>
      </c>
      <c r="L10" s="406">
        <f>'6.Office_Commercial'!L17</f>
        <v>78054332.119350612</v>
      </c>
      <c r="M10" s="455">
        <f>'6.Office_Commercial'!M17</f>
        <v>79615418.76173763</v>
      </c>
    </row>
    <row r="11" spans="1:13" ht="11.25" customHeight="1" x14ac:dyDescent="0.2">
      <c r="A11" s="860" t="s">
        <v>110</v>
      </c>
      <c r="B11" s="923"/>
      <c r="C11" s="957">
        <f>'7.Market-rate Retail'!C15</f>
        <v>0</v>
      </c>
      <c r="D11" s="412">
        <f>'7.Market-rate Retail'!D15</f>
        <v>406988.22167124739</v>
      </c>
      <c r="E11" s="412">
        <f>'7.Market-rate Retail'!E15</f>
        <v>863798.31348660227</v>
      </c>
      <c r="F11" s="964">
        <f>'7.Market-rate Retail'!F15</f>
        <v>935003.0742716603</v>
      </c>
      <c r="G11" s="409">
        <f>'7.Market-rate Retail'!G15</f>
        <v>1502219.6056000763</v>
      </c>
      <c r="H11" s="409">
        <f>'7.Market-rate Retail'!H15</f>
        <v>2220927.7297973875</v>
      </c>
      <c r="I11" s="969">
        <f>'7.Market-rate Retail'!I15</f>
        <v>2551147.8521031118</v>
      </c>
      <c r="J11" s="406">
        <f>'7.Market-rate Retail'!J15</f>
        <v>3581889.3480960079</v>
      </c>
      <c r="K11" s="406">
        <f>'7.Market-rate Retail'!K15</f>
        <v>4989155.7940753382</v>
      </c>
      <c r="L11" s="406">
        <f>'7.Market-rate Retail'!L15</f>
        <v>6081753.0734623484</v>
      </c>
      <c r="M11" s="455">
        <f>'7.Market-rate Retail'!M15</f>
        <v>6081753.0734623484</v>
      </c>
    </row>
    <row r="12" spans="1:13" ht="11.25" customHeight="1" x14ac:dyDescent="0.2">
      <c r="A12" s="860" t="s">
        <v>78</v>
      </c>
      <c r="B12" s="923"/>
      <c r="C12" s="957">
        <f>'8.Hotel'!C18</f>
        <v>0</v>
      </c>
      <c r="D12" s="412">
        <f>'8.Hotel'!D18</f>
        <v>0</v>
      </c>
      <c r="E12" s="412">
        <f>'8.Hotel'!E18</f>
        <v>0</v>
      </c>
      <c r="F12" s="964">
        <f>'8.Hotel'!F18</f>
        <v>0</v>
      </c>
      <c r="G12" s="409">
        <f>'8.Hotel'!G18</f>
        <v>11555395.891199999</v>
      </c>
      <c r="H12" s="409">
        <f>'8.Hotel'!H18</f>
        <v>11555395.891199999</v>
      </c>
      <c r="I12" s="969">
        <f>'8.Hotel'!I18</f>
        <v>11555395.891199999</v>
      </c>
      <c r="J12" s="406">
        <f>'8.Hotel'!J18</f>
        <v>11555395.891199999</v>
      </c>
      <c r="K12" s="406">
        <f>'8.Hotel'!K18</f>
        <v>11555395.891199999</v>
      </c>
      <c r="L12" s="406">
        <f>'8.Hotel'!L18</f>
        <v>11555395.891199999</v>
      </c>
      <c r="M12" s="455">
        <f>'8.Hotel'!M18</f>
        <v>11555395.891199999</v>
      </c>
    </row>
    <row r="13" spans="1:13" ht="11.25" customHeight="1" x14ac:dyDescent="0.2">
      <c r="A13" s="860" t="s">
        <v>79</v>
      </c>
      <c r="B13" s="923"/>
      <c r="C13" s="957">
        <f>'11.Structured Parking'!C31</f>
        <v>0</v>
      </c>
      <c r="D13" s="412">
        <f>'11.Structured Parking'!D31</f>
        <v>893411.26041702856</v>
      </c>
      <c r="E13" s="412">
        <f>'11.Structured Parking'!E31</f>
        <v>1849234.5766510763</v>
      </c>
      <c r="F13" s="964">
        <f>'11.Structured Parking'!F31</f>
        <v>1913428.385692443</v>
      </c>
      <c r="G13" s="409">
        <f>'11.Structured Parking'!G31</f>
        <v>2688491.0716316267</v>
      </c>
      <c r="H13" s="409">
        <f>'11.Structured Parking'!H31</f>
        <v>3514071.0566537371</v>
      </c>
      <c r="I13" s="969">
        <f>'11.Structured Parking'!I31</f>
        <v>3633912.7772192359</v>
      </c>
      <c r="J13" s="406">
        <f>'11.Structured Parking'!J31</f>
        <v>4351936.323336266</v>
      </c>
      <c r="K13" s="406">
        <f>'11.Structured Parking'!K31</f>
        <v>5113552.9912808174</v>
      </c>
      <c r="L13" s="406">
        <f>'11.Structured Parking'!L31</f>
        <v>5285070.0973421196</v>
      </c>
      <c r="M13" s="455">
        <f>'11.Structured Parking'!M31</f>
        <v>5390771.4992889632</v>
      </c>
    </row>
    <row r="14" spans="1:13" ht="11.25" customHeight="1" x14ac:dyDescent="0.2">
      <c r="A14" s="860" t="s">
        <v>53</v>
      </c>
      <c r="B14" s="923"/>
      <c r="C14" s="958"/>
      <c r="D14" s="413"/>
      <c r="E14" s="413"/>
      <c r="F14" s="931"/>
      <c r="G14" s="410"/>
      <c r="H14" s="410"/>
      <c r="I14" s="938"/>
      <c r="J14" s="407"/>
      <c r="K14" s="407"/>
      <c r="L14" s="830"/>
      <c r="M14" s="456"/>
    </row>
    <row r="15" spans="1:13" ht="11.25" customHeight="1" x14ac:dyDescent="0.2">
      <c r="A15" s="861" t="s">
        <v>1</v>
      </c>
      <c r="B15" s="948"/>
      <c r="C15" s="956">
        <f t="shared" ref="C15:M15" si="1">SUM(C6:C14)</f>
        <v>0</v>
      </c>
      <c r="D15" s="412">
        <f t="shared" si="1"/>
        <v>73619652.474306345</v>
      </c>
      <c r="E15" s="412">
        <f t="shared" si="1"/>
        <v>95276531.751473293</v>
      </c>
      <c r="F15" s="964">
        <f t="shared" si="1"/>
        <v>41381446.980207868</v>
      </c>
      <c r="G15" s="409">
        <f t="shared" si="1"/>
        <v>118906010.45386846</v>
      </c>
      <c r="H15" s="409">
        <f t="shared" si="1"/>
        <v>137056066.00717989</v>
      </c>
      <c r="I15" s="969">
        <f t="shared" si="1"/>
        <v>88298842.362150967</v>
      </c>
      <c r="J15" s="406">
        <f t="shared" si="1"/>
        <v>107470981.60183817</v>
      </c>
      <c r="K15" s="406">
        <f t="shared" si="1"/>
        <v>116089784.56298929</v>
      </c>
      <c r="L15" s="406">
        <f t="shared" si="1"/>
        <v>107367523.26297139</v>
      </c>
      <c r="M15" s="455">
        <f t="shared" si="1"/>
        <v>109162130.74893759</v>
      </c>
    </row>
    <row r="16" spans="1:13" ht="11.25" customHeight="1" x14ac:dyDescent="0.2">
      <c r="A16" s="852"/>
      <c r="B16" s="949" t="s">
        <v>112</v>
      </c>
      <c r="C16" s="956">
        <f>C15</f>
        <v>0</v>
      </c>
      <c r="D16" s="412">
        <f t="shared" ref="D16:M16" si="2">D15</f>
        <v>73619652.474306345</v>
      </c>
      <c r="E16" s="412">
        <f t="shared" si="2"/>
        <v>95276531.751473293</v>
      </c>
      <c r="F16" s="964">
        <f t="shared" si="2"/>
        <v>41381446.980207868</v>
      </c>
      <c r="G16" s="409">
        <f t="shared" si="2"/>
        <v>118906010.45386846</v>
      </c>
      <c r="H16" s="409">
        <f t="shared" si="2"/>
        <v>137056066.00717989</v>
      </c>
      <c r="I16" s="969">
        <f t="shared" si="2"/>
        <v>88298842.362150967</v>
      </c>
      <c r="J16" s="406">
        <f t="shared" si="2"/>
        <v>107470981.60183817</v>
      </c>
      <c r="K16" s="406">
        <f t="shared" si="2"/>
        <v>116089784.56298929</v>
      </c>
      <c r="L16" s="406">
        <f t="shared" si="2"/>
        <v>107367523.26297139</v>
      </c>
      <c r="M16" s="455">
        <f t="shared" si="2"/>
        <v>109162130.74893759</v>
      </c>
    </row>
    <row r="17" spans="1:13" s="457" customFormat="1" ht="11.25" customHeight="1" x14ac:dyDescent="0.2">
      <c r="A17" s="852"/>
      <c r="B17" s="949"/>
      <c r="C17" s="958"/>
      <c r="D17" s="413"/>
      <c r="E17" s="413"/>
      <c r="F17" s="931"/>
      <c r="G17" s="410"/>
      <c r="H17" s="410"/>
      <c r="I17" s="938"/>
      <c r="J17" s="407"/>
      <c r="K17" s="407"/>
      <c r="L17" s="830"/>
      <c r="M17" s="456"/>
    </row>
    <row r="18" spans="1:13" ht="11.25" customHeight="1" x14ac:dyDescent="0.2">
      <c r="A18" s="854" t="s">
        <v>3</v>
      </c>
      <c r="B18" s="927"/>
      <c r="C18" s="955"/>
      <c r="D18" s="413"/>
      <c r="E18" s="413"/>
      <c r="F18" s="931"/>
      <c r="G18" s="410"/>
      <c r="H18" s="410"/>
      <c r="I18" s="938"/>
      <c r="J18" s="407"/>
      <c r="K18" s="407"/>
      <c r="L18" s="830"/>
      <c r="M18" s="456"/>
    </row>
    <row r="19" spans="1:13" ht="11.25" customHeight="1" x14ac:dyDescent="0.2">
      <c r="A19" s="859" t="s">
        <v>81</v>
      </c>
      <c r="B19" s="926" t="s">
        <v>74</v>
      </c>
      <c r="C19" s="956">
        <f>'2.Market-rate Rental Housing'!C23</f>
        <v>0</v>
      </c>
      <c r="D19" s="412">
        <f>'2.Market-rate Rental Housing'!D23</f>
        <v>22877500.949999999</v>
      </c>
      <c r="E19" s="412">
        <f>'2.Market-rate Rental Housing'!E23</f>
        <v>23335050.969000001</v>
      </c>
      <c r="F19" s="964">
        <f>'2.Market-rate Rental Housing'!F23</f>
        <v>0</v>
      </c>
      <c r="G19" s="409">
        <f>'2.Market-rate Rental Housing'!G23</f>
        <v>21125652.571494002</v>
      </c>
      <c r="H19" s="409">
        <f>'2.Market-rate Rental Housing'!H23</f>
        <v>21548165.622923881</v>
      </c>
      <c r="I19" s="969">
        <f>'2.Market-rate Rental Housing'!I23</f>
        <v>0</v>
      </c>
      <c r="J19" s="406">
        <f>'2.Market-rate Rental Housing'!J23</f>
        <v>4861524.9169086646</v>
      </c>
      <c r="K19" s="406">
        <f>'2.Market-rate Rental Housing'!K23</f>
        <v>4958755.4152468387</v>
      </c>
      <c r="L19" s="406">
        <f>'2.Market-rate Rental Housing'!L23</f>
        <v>0</v>
      </c>
      <c r="M19" s="455">
        <f>'2.Market-rate Rental Housing'!M23</f>
        <v>0</v>
      </c>
    </row>
    <row r="20" spans="1:13" ht="11.25" customHeight="1" x14ac:dyDescent="0.2">
      <c r="A20" s="859"/>
      <c r="B20" s="926" t="s">
        <v>75</v>
      </c>
      <c r="C20" s="956">
        <f>'3.Market-rate For-Sale Housing'!C23</f>
        <v>0</v>
      </c>
      <c r="D20" s="412">
        <f>'3.Market-rate For-Sale Housing'!D23</f>
        <v>85790628.5625</v>
      </c>
      <c r="E20" s="412">
        <f>'3.Market-rate For-Sale Housing'!E23</f>
        <v>87506441.133750007</v>
      </c>
      <c r="F20" s="964">
        <f>'3.Market-rate For-Sale Housing'!F23</f>
        <v>0</v>
      </c>
      <c r="G20" s="409">
        <f>'3.Market-rate For-Sale Housing'!G23</f>
        <v>79221197.143102512</v>
      </c>
      <c r="H20" s="409">
        <f>'3.Market-rate For-Sale Housing'!H23</f>
        <v>80805621.085964546</v>
      </c>
      <c r="I20" s="969">
        <f>'3.Market-rate For-Sale Housing'!I23</f>
        <v>0</v>
      </c>
      <c r="J20" s="406">
        <f>'3.Market-rate For-Sale Housing'!J23</f>
        <v>18230718.438407492</v>
      </c>
      <c r="K20" s="406">
        <f>'3.Market-rate For-Sale Housing'!K23</f>
        <v>18595332.807175644</v>
      </c>
      <c r="L20" s="406">
        <f>'3.Market-rate For-Sale Housing'!L23</f>
        <v>0</v>
      </c>
      <c r="M20" s="455">
        <f>'3.Market-rate For-Sale Housing'!M23</f>
        <v>0</v>
      </c>
    </row>
    <row r="21" spans="1:13" ht="11.25" customHeight="1" x14ac:dyDescent="0.2">
      <c r="A21" s="859" t="s">
        <v>80</v>
      </c>
      <c r="B21" s="926" t="s">
        <v>74</v>
      </c>
      <c r="C21" s="956">
        <f>'4.Affordable Rental Housing'!C23</f>
        <v>0</v>
      </c>
      <c r="D21" s="412">
        <f>'4.Affordable Rental Housing'!D23</f>
        <v>3304527.915</v>
      </c>
      <c r="E21" s="412">
        <f>'4.Affordable Rental Housing'!E23</f>
        <v>0</v>
      </c>
      <c r="F21" s="964">
        <f>'4.Affordable Rental Housing'!F23</f>
        <v>0</v>
      </c>
      <c r="G21" s="409">
        <f>'4.Affordable Rental Housing'!G23</f>
        <v>1525741.5746078999</v>
      </c>
      <c r="H21" s="409">
        <f>'4.Affordable Rental Housing'!H23</f>
        <v>1556256.4061000582</v>
      </c>
      <c r="I21" s="969">
        <f>'4.Affordable Rental Housing'!I23</f>
        <v>0</v>
      </c>
      <c r="J21" s="406">
        <f>'4.Affordable Rental Housing'!J23</f>
        <v>351110.13288784795</v>
      </c>
      <c r="K21" s="406">
        <f>'4.Affordable Rental Housing'!K23</f>
        <v>358132.33554560499</v>
      </c>
      <c r="L21" s="406">
        <f>'4.Affordable Rental Housing'!L23</f>
        <v>0</v>
      </c>
      <c r="M21" s="455">
        <f>'4.Affordable Rental Housing'!M23</f>
        <v>0</v>
      </c>
    </row>
    <row r="22" spans="1:13" ht="11.25" customHeight="1" x14ac:dyDescent="0.2">
      <c r="A22" s="859"/>
      <c r="B22" s="926" t="s">
        <v>75</v>
      </c>
      <c r="C22" s="956">
        <f>'5.Affordable For-Sale Housing'!C23</f>
        <v>0</v>
      </c>
      <c r="D22" s="412">
        <f>'5.Affordable For-Sale Housing'!D23</f>
        <v>9532292.0625000019</v>
      </c>
      <c r="E22" s="412">
        <f>'5.Affordable For-Sale Housing'!E23</f>
        <v>9722937.9037500024</v>
      </c>
      <c r="F22" s="964">
        <f>'5.Affordable For-Sale Housing'!F23</f>
        <v>0</v>
      </c>
      <c r="G22" s="409">
        <f>'5.Affordable For-Sale Housing'!G23</f>
        <v>8802355.2381225005</v>
      </c>
      <c r="H22" s="409">
        <f>'5.Affordable For-Sale Housing'!H23</f>
        <v>8978402.3428849503</v>
      </c>
      <c r="I22" s="969">
        <f>'5.Affordable For-Sale Housing'!I23</f>
        <v>0</v>
      </c>
      <c r="J22" s="406">
        <f>'5.Affordable For-Sale Housing'!J23</f>
        <v>2025635.3820452769</v>
      </c>
      <c r="K22" s="406">
        <f>'5.Affordable For-Sale Housing'!K23</f>
        <v>2066148.0896861826</v>
      </c>
      <c r="L22" s="406">
        <f>'5.Affordable For-Sale Housing'!L23</f>
        <v>0</v>
      </c>
      <c r="M22" s="455">
        <f>'5.Affordable For-Sale Housing'!M23</f>
        <v>0</v>
      </c>
    </row>
    <row r="23" spans="1:13" ht="11.25" customHeight="1" x14ac:dyDescent="0.2">
      <c r="A23" s="860" t="s">
        <v>76</v>
      </c>
      <c r="B23" s="923"/>
      <c r="C23" s="956">
        <f>'6.Office_Commercial'!C23</f>
        <v>0</v>
      </c>
      <c r="D23" s="412">
        <f>'6.Office_Commercial'!D23</f>
        <v>78235224</v>
      </c>
      <c r="E23" s="412">
        <f>'6.Office_Commercial'!E23</f>
        <v>79799928.479999989</v>
      </c>
      <c r="F23" s="964">
        <f>'6.Office_Commercial'!F23</f>
        <v>0</v>
      </c>
      <c r="G23" s="409">
        <f>'6.Office_Commercial'!G23</f>
        <v>59308514.667504005</v>
      </c>
      <c r="H23" s="409">
        <f>'6.Office_Commercial'!H23</f>
        <v>60494684.960854076</v>
      </c>
      <c r="I23" s="969">
        <f>'6.Office_Commercial'!I23</f>
        <v>0</v>
      </c>
      <c r="J23" s="406">
        <f>'6.Office_Commercial'!J23</f>
        <v>19642524.916802686</v>
      </c>
      <c r="K23" s="406">
        <f>'6.Office_Commercial'!K23</f>
        <v>20035375.41513874</v>
      </c>
      <c r="L23" s="406">
        <f>'6.Office_Commercial'!L23</f>
        <v>0</v>
      </c>
      <c r="M23" s="455">
        <f>'6.Office_Commercial'!M23</f>
        <v>0</v>
      </c>
    </row>
    <row r="24" spans="1:13" ht="11.25" customHeight="1" x14ac:dyDescent="0.2">
      <c r="A24" s="860" t="s">
        <v>109</v>
      </c>
      <c r="B24" s="923"/>
      <c r="C24" s="959">
        <f>'7.Market-rate Retail'!C21</f>
        <v>0</v>
      </c>
      <c r="D24" s="831">
        <f>'7.Market-rate Retail'!D21</f>
        <v>3416989.7999999993</v>
      </c>
      <c r="E24" s="831">
        <f>'7.Market-rate Retail'!E21</f>
        <v>3485329.595999999</v>
      </c>
      <c r="F24" s="965">
        <f>'7.Market-rate Retail'!F21</f>
        <v>0</v>
      </c>
      <c r="G24" s="832">
        <f>'7.Market-rate Retail'!G21</f>
        <v>3301158.3042815998</v>
      </c>
      <c r="H24" s="832">
        <f>'7.Market-rate Retail'!H21</f>
        <v>3367181.4703672319</v>
      </c>
      <c r="I24" s="970">
        <f>'7.Market-rate Retail'!I21</f>
        <v>0</v>
      </c>
      <c r="J24" s="833">
        <f>'7.Market-rate Retail'!J21</f>
        <v>2915915.5936143431</v>
      </c>
      <c r="K24" s="833">
        <f>'7.Market-rate Retail'!K21</f>
        <v>2974233.9054866307</v>
      </c>
      <c r="L24" s="833">
        <f>'7.Market-rate Retail'!L21</f>
        <v>0</v>
      </c>
      <c r="M24" s="862">
        <f>'7.Market-rate Retail'!M21</f>
        <v>0</v>
      </c>
    </row>
    <row r="25" spans="1:13" ht="11.25" customHeight="1" x14ac:dyDescent="0.2">
      <c r="A25" s="860" t="s">
        <v>78</v>
      </c>
      <c r="B25" s="923"/>
      <c r="C25" s="956">
        <f>'8.Hotel'!C23</f>
        <v>0</v>
      </c>
      <c r="D25" s="412">
        <f>'8.Hotel'!D23</f>
        <v>0</v>
      </c>
      <c r="E25" s="412">
        <f>'8.Hotel'!E23</f>
        <v>0</v>
      </c>
      <c r="F25" s="964">
        <f>'8.Hotel'!F23</f>
        <v>0</v>
      </c>
      <c r="G25" s="409">
        <f>'8.Hotel'!G23</f>
        <v>49074000</v>
      </c>
      <c r="H25" s="409">
        <f>'8.Hotel'!H23</f>
        <v>0</v>
      </c>
      <c r="I25" s="969">
        <f>'8.Hotel'!I23</f>
        <v>0</v>
      </c>
      <c r="J25" s="406">
        <f>'8.Hotel'!J23</f>
        <v>0</v>
      </c>
      <c r="K25" s="406">
        <f>'8.Hotel'!K23</f>
        <v>0</v>
      </c>
      <c r="L25" s="406">
        <f>'8.Hotel'!L23</f>
        <v>0</v>
      </c>
      <c r="M25" s="455">
        <f>'8.Hotel'!M23</f>
        <v>0</v>
      </c>
    </row>
    <row r="26" spans="1:13" ht="11.25" customHeight="1" x14ac:dyDescent="0.2">
      <c r="A26" s="860" t="s">
        <v>79</v>
      </c>
      <c r="B26" s="923"/>
      <c r="C26" s="956">
        <f>'11.Structured Parking'!C36</f>
        <v>0</v>
      </c>
      <c r="D26" s="412">
        <f>'11.Structured Parking'!D36</f>
        <v>14228050</v>
      </c>
      <c r="E26" s="412">
        <f>'11.Structured Parking'!E36</f>
        <v>14228050</v>
      </c>
      <c r="F26" s="964">
        <f>'11.Structured Parking'!F36</f>
        <v>0</v>
      </c>
      <c r="G26" s="409">
        <f>'11.Structured Parking'!G36</f>
        <v>10193000</v>
      </c>
      <c r="H26" s="409">
        <f>'11.Structured Parking'!H36</f>
        <v>10193000</v>
      </c>
      <c r="I26" s="969">
        <f>'11.Structured Parking'!I36</f>
        <v>0</v>
      </c>
      <c r="J26" s="406">
        <f>'11.Structured Parking'!J36</f>
        <v>7732200</v>
      </c>
      <c r="K26" s="406">
        <f>'11.Structured Parking'!K36</f>
        <v>7732200</v>
      </c>
      <c r="L26" s="406">
        <f>'11.Structured Parking'!L36</f>
        <v>0</v>
      </c>
      <c r="M26" s="455">
        <f>'11.Structured Parking'!M36</f>
        <v>0</v>
      </c>
    </row>
    <row r="27" spans="1:13" ht="11.25" customHeight="1" x14ac:dyDescent="0.2">
      <c r="A27" s="860" t="s">
        <v>53</v>
      </c>
      <c r="B27" s="923"/>
      <c r="C27" s="957"/>
      <c r="D27" s="834"/>
      <c r="E27" s="834"/>
      <c r="F27" s="966"/>
      <c r="G27" s="835"/>
      <c r="H27" s="835"/>
      <c r="I27" s="971"/>
      <c r="J27" s="836"/>
      <c r="K27" s="836"/>
      <c r="L27" s="837"/>
      <c r="M27" s="863"/>
    </row>
    <row r="28" spans="1:13" ht="11.25" customHeight="1" x14ac:dyDescent="0.2">
      <c r="A28" s="864"/>
      <c r="B28" s="926" t="s">
        <v>111</v>
      </c>
      <c r="C28" s="960">
        <f>E105</f>
        <v>64491500</v>
      </c>
      <c r="D28" s="413"/>
      <c r="E28" s="413"/>
      <c r="F28" s="931"/>
      <c r="G28" s="410"/>
      <c r="H28" s="410"/>
      <c r="I28" s="938"/>
      <c r="J28" s="407"/>
      <c r="K28" s="407"/>
      <c r="L28" s="830"/>
      <c r="M28" s="456"/>
    </row>
    <row r="29" spans="1:13" ht="11.25" customHeight="1" x14ac:dyDescent="0.2">
      <c r="A29" s="860" t="s">
        <v>97</v>
      </c>
      <c r="B29" s="923"/>
      <c r="C29" s="956">
        <f>'1.Infrastructure Costs'!D23</f>
        <v>0</v>
      </c>
      <c r="D29" s="412">
        <f>'1.Infrastructure Costs'!E23</f>
        <v>40696525.529999994</v>
      </c>
      <c r="E29" s="412">
        <f>'1.Infrastructure Costs'!F23</f>
        <v>1893737.6406</v>
      </c>
      <c r="F29" s="964">
        <f>'1.Infrastructure Costs'!G23</f>
        <v>0</v>
      </c>
      <c r="G29" s="409">
        <f>'1.Infrastructure Costs'!H23</f>
        <v>3146608.0451391116</v>
      </c>
      <c r="H29" s="409">
        <f>'1.Infrastructure Costs'!I23</f>
        <v>3209540.2060418944</v>
      </c>
      <c r="I29" s="969">
        <f>'1.Infrastructure Costs'!J23</f>
        <v>0</v>
      </c>
      <c r="J29" s="406">
        <f>'1.Infrastructure Costs'!K23</f>
        <v>678499.44726447132</v>
      </c>
      <c r="K29" s="406">
        <f>'1.Infrastructure Costs'!L23</f>
        <v>692069.43620976072</v>
      </c>
      <c r="L29" s="406">
        <f>'1.Infrastructure Costs'!M23</f>
        <v>0</v>
      </c>
      <c r="M29" s="455">
        <f>'1.Infrastructure Costs'!N23</f>
        <v>0</v>
      </c>
    </row>
    <row r="30" spans="1:13" ht="11.25" customHeight="1" x14ac:dyDescent="0.2">
      <c r="A30" s="860" t="s">
        <v>113</v>
      </c>
      <c r="B30" s="923"/>
      <c r="C30" s="958"/>
      <c r="D30" s="413"/>
      <c r="E30" s="413"/>
      <c r="F30" s="931"/>
      <c r="G30" s="410"/>
      <c r="H30" s="410"/>
      <c r="I30" s="938"/>
      <c r="J30" s="407"/>
      <c r="K30" s="407"/>
      <c r="L30" s="830"/>
      <c r="M30" s="456"/>
    </row>
    <row r="31" spans="1:13" ht="11.25" customHeight="1" x14ac:dyDescent="0.2">
      <c r="A31" s="860" t="s">
        <v>147</v>
      </c>
      <c r="B31" s="923"/>
      <c r="C31" s="958"/>
      <c r="D31" s="413"/>
      <c r="E31" s="413"/>
      <c r="F31" s="931"/>
      <c r="G31" s="410"/>
      <c r="H31" s="410"/>
      <c r="I31" s="938"/>
      <c r="J31" s="407"/>
      <c r="K31" s="407"/>
      <c r="L31" s="830"/>
      <c r="M31" s="456"/>
    </row>
    <row r="32" spans="1:13" ht="11.25" customHeight="1" x14ac:dyDescent="0.2">
      <c r="A32" s="864"/>
      <c r="B32" s="926" t="s">
        <v>96</v>
      </c>
      <c r="C32" s="958"/>
      <c r="D32" s="413"/>
      <c r="E32" s="413"/>
      <c r="F32" s="931"/>
      <c r="G32" s="410"/>
      <c r="H32" s="410"/>
      <c r="I32" s="938"/>
      <c r="J32" s="407"/>
      <c r="K32" s="407"/>
      <c r="L32" s="830"/>
      <c r="M32" s="456"/>
    </row>
    <row r="33" spans="1:13" ht="11.25" customHeight="1" x14ac:dyDescent="0.2">
      <c r="A33" s="861" t="s">
        <v>3</v>
      </c>
      <c r="B33" s="948"/>
      <c r="C33" s="957">
        <f t="shared" ref="C33:M33" si="3">SUM(C19:C32)</f>
        <v>64491500</v>
      </c>
      <c r="D33" s="412">
        <f t="shared" si="3"/>
        <v>258081738.82000002</v>
      </c>
      <c r="E33" s="412">
        <f t="shared" si="3"/>
        <v>219971475.72309998</v>
      </c>
      <c r="F33" s="964">
        <f t="shared" si="3"/>
        <v>0</v>
      </c>
      <c r="G33" s="409">
        <f t="shared" si="3"/>
        <v>235698227.54425162</v>
      </c>
      <c r="H33" s="409">
        <f t="shared" si="3"/>
        <v>190152852.09513664</v>
      </c>
      <c r="I33" s="969">
        <f t="shared" si="3"/>
        <v>0</v>
      </c>
      <c r="J33" s="406">
        <f t="shared" si="3"/>
        <v>56438128.827930771</v>
      </c>
      <c r="K33" s="406">
        <f t="shared" si="3"/>
        <v>57412247.404489391</v>
      </c>
      <c r="L33" s="406">
        <f t="shared" si="3"/>
        <v>0</v>
      </c>
      <c r="M33" s="455">
        <f t="shared" si="3"/>
        <v>0</v>
      </c>
    </row>
    <row r="34" spans="1:13" s="66" customFormat="1" ht="11.25" customHeight="1" x14ac:dyDescent="0.2">
      <c r="A34" s="852"/>
      <c r="B34" s="949"/>
      <c r="C34" s="958"/>
      <c r="D34" s="413"/>
      <c r="E34" s="413"/>
      <c r="F34" s="931"/>
      <c r="G34" s="410"/>
      <c r="H34" s="410"/>
      <c r="I34" s="938"/>
      <c r="J34" s="407"/>
      <c r="K34" s="407"/>
      <c r="L34" s="830"/>
      <c r="M34" s="456"/>
    </row>
    <row r="35" spans="1:13" ht="11.25" customHeight="1" x14ac:dyDescent="0.2">
      <c r="A35" s="854" t="s">
        <v>4</v>
      </c>
      <c r="B35" s="927"/>
      <c r="C35" s="955"/>
      <c r="D35" s="413"/>
      <c r="E35" s="413"/>
      <c r="F35" s="931"/>
      <c r="G35" s="410"/>
      <c r="H35" s="410"/>
      <c r="I35" s="938"/>
      <c r="J35" s="407"/>
      <c r="K35" s="407"/>
      <c r="L35" s="830"/>
      <c r="M35" s="456"/>
    </row>
    <row r="36" spans="1:13" ht="11.25" customHeight="1" x14ac:dyDescent="0.2">
      <c r="A36" s="860" t="s">
        <v>5</v>
      </c>
      <c r="B36" s="923"/>
      <c r="C36" s="956">
        <f t="shared" ref="C36:M36" si="4">C15</f>
        <v>0</v>
      </c>
      <c r="D36" s="412">
        <f t="shared" si="4"/>
        <v>73619652.474306345</v>
      </c>
      <c r="E36" s="412">
        <f t="shared" si="4"/>
        <v>95276531.751473293</v>
      </c>
      <c r="F36" s="964">
        <f t="shared" si="4"/>
        <v>41381446.980207868</v>
      </c>
      <c r="G36" s="409">
        <f t="shared" si="4"/>
        <v>118906010.45386846</v>
      </c>
      <c r="H36" s="409">
        <f t="shared" si="4"/>
        <v>137056066.00717989</v>
      </c>
      <c r="I36" s="969">
        <f t="shared" si="4"/>
        <v>88298842.362150967</v>
      </c>
      <c r="J36" s="406">
        <f t="shared" si="4"/>
        <v>107470981.60183817</v>
      </c>
      <c r="K36" s="406">
        <f t="shared" si="4"/>
        <v>116089784.56298929</v>
      </c>
      <c r="L36" s="406">
        <f t="shared" si="4"/>
        <v>107367523.26297139</v>
      </c>
      <c r="M36" s="455">
        <f t="shared" si="4"/>
        <v>109162130.74893759</v>
      </c>
    </row>
    <row r="37" spans="1:13" ht="11.25" customHeight="1" x14ac:dyDescent="0.2">
      <c r="A37" s="864" t="s">
        <v>101</v>
      </c>
      <c r="B37" s="950">
        <v>3.7499999999999999E-2</v>
      </c>
      <c r="C37" s="958"/>
      <c r="D37" s="413"/>
      <c r="E37" s="413"/>
      <c r="F37" s="931"/>
      <c r="G37" s="410"/>
      <c r="H37" s="410"/>
      <c r="I37" s="938"/>
      <c r="J37" s="407"/>
      <c r="K37" s="407"/>
      <c r="L37" s="830"/>
      <c r="M37" s="865">
        <f>'2.Market-rate Rental Housing'!M26+'3.Market-rate For-Sale Housing'!M26+'4.Affordable Rental Housing'!M26+'5.Affordable For-Sale Housing'!M26+'6.Office_Commercial'!M26+'7.Market-rate Retail'!M24+'8.Hotel'!M26+'9.University'!M23+'10.School'!M23+'11.Structured Parking'!M39</f>
        <v>6773807905.9220495</v>
      </c>
    </row>
    <row r="38" spans="1:13" ht="11.25" customHeight="1" x14ac:dyDescent="0.2">
      <c r="A38" s="860" t="s">
        <v>42</v>
      </c>
      <c r="B38" s="951">
        <v>0.05</v>
      </c>
      <c r="C38" s="961"/>
      <c r="D38" s="413"/>
      <c r="E38" s="413"/>
      <c r="F38" s="931"/>
      <c r="G38" s="410"/>
      <c r="H38" s="410"/>
      <c r="I38" s="938"/>
      <c r="J38" s="407"/>
      <c r="K38" s="407"/>
      <c r="L38" s="830"/>
      <c r="M38" s="866">
        <f>M37*(-B38)</f>
        <v>-338690395.29610252</v>
      </c>
    </row>
    <row r="39" spans="1:13" ht="11.25" customHeight="1" x14ac:dyDescent="0.2">
      <c r="A39" s="860" t="s">
        <v>3</v>
      </c>
      <c r="B39" s="923"/>
      <c r="C39" s="956">
        <f>-C33</f>
        <v>-64491500</v>
      </c>
      <c r="D39" s="412">
        <f t="shared" ref="D39:M39" si="5">-D33</f>
        <v>-258081738.82000002</v>
      </c>
      <c r="E39" s="412">
        <f t="shared" si="5"/>
        <v>-219971475.72309998</v>
      </c>
      <c r="F39" s="964">
        <f t="shared" si="5"/>
        <v>0</v>
      </c>
      <c r="G39" s="409">
        <f t="shared" si="5"/>
        <v>-235698227.54425162</v>
      </c>
      <c r="H39" s="409">
        <f t="shared" si="5"/>
        <v>-190152852.09513664</v>
      </c>
      <c r="I39" s="969">
        <f t="shared" si="5"/>
        <v>0</v>
      </c>
      <c r="J39" s="406">
        <f t="shared" si="5"/>
        <v>-56438128.827930771</v>
      </c>
      <c r="K39" s="406">
        <f t="shared" si="5"/>
        <v>-57412247.404489391</v>
      </c>
      <c r="L39" s="406">
        <f t="shared" si="5"/>
        <v>0</v>
      </c>
      <c r="M39" s="455">
        <f t="shared" si="5"/>
        <v>0</v>
      </c>
    </row>
    <row r="40" spans="1:13" ht="11.25" customHeight="1" x14ac:dyDescent="0.2">
      <c r="A40" s="852" t="s">
        <v>6</v>
      </c>
      <c r="B40" s="928"/>
      <c r="C40" s="956">
        <f>SUM(C36:C39)</f>
        <v>-64491500</v>
      </c>
      <c r="D40" s="412">
        <f t="shared" ref="D40:M40" si="6">SUM(D36:D39)</f>
        <v>-184462086.34569368</v>
      </c>
      <c r="E40" s="412">
        <f t="shared" si="6"/>
        <v>-124694943.97162668</v>
      </c>
      <c r="F40" s="964">
        <f t="shared" si="6"/>
        <v>41381446.980207868</v>
      </c>
      <c r="G40" s="409">
        <f t="shared" si="6"/>
        <v>-116792217.09038316</v>
      </c>
      <c r="H40" s="409">
        <f t="shared" si="6"/>
        <v>-53096786.087956756</v>
      </c>
      <c r="I40" s="969">
        <f t="shared" si="6"/>
        <v>88298842.362150967</v>
      </c>
      <c r="J40" s="406">
        <f t="shared" si="6"/>
        <v>51032852.773907401</v>
      </c>
      <c r="K40" s="406">
        <f t="shared" si="6"/>
        <v>58677537.158499904</v>
      </c>
      <c r="L40" s="406">
        <f t="shared" si="6"/>
        <v>107367523.26297139</v>
      </c>
      <c r="M40" s="455">
        <f t="shared" si="6"/>
        <v>6544279641.3748846</v>
      </c>
    </row>
    <row r="41" spans="1:13" ht="11.25" customHeight="1" x14ac:dyDescent="0.2">
      <c r="A41" s="852" t="s">
        <v>114</v>
      </c>
      <c r="B41" s="928"/>
      <c r="C41" s="962">
        <f>Financing!B36</f>
        <v>-207749561.52378371</v>
      </c>
      <c r="D41" s="838">
        <f>Financing!C36</f>
        <v>26881205.334477961</v>
      </c>
      <c r="E41" s="838">
        <f>Financing!D36</f>
        <v>33053180.282444902</v>
      </c>
      <c r="F41" s="967">
        <f>Financing!E36</f>
        <v>-34040193.032206513</v>
      </c>
      <c r="G41" s="839">
        <f>Financing!F36</f>
        <v>43484370.441454083</v>
      </c>
      <c r="H41" s="839">
        <f>Financing!G36</f>
        <v>47492532.342110395</v>
      </c>
      <c r="I41" s="972">
        <f>Financing!H36</f>
        <v>-12673862.428626716</v>
      </c>
      <c r="J41" s="840">
        <f>Financing!I36</f>
        <v>6498276.8110604882</v>
      </c>
      <c r="K41" s="840">
        <f>Financing!J36</f>
        <v>11730792.042535767</v>
      </c>
      <c r="L41" s="840">
        <f>Financing!K36</f>
        <v>-436204.10175149143</v>
      </c>
      <c r="M41" s="867">
        <f>Financing!L36</f>
        <v>4639747124.5981131</v>
      </c>
    </row>
    <row r="42" spans="1:13" ht="11.25" customHeight="1" thickBot="1" x14ac:dyDescent="0.25">
      <c r="A42" s="848" t="s">
        <v>82</v>
      </c>
      <c r="B42" s="952"/>
      <c r="C42" s="963">
        <f>Financing!B21</f>
        <v>42868957.139828384</v>
      </c>
      <c r="D42" s="481">
        <f>Financing!C21</f>
        <v>46738447.139828384</v>
      </c>
      <c r="E42" s="481">
        <f>Financing!D21</f>
        <v>62223351.469028391</v>
      </c>
      <c r="F42" s="968">
        <f>Financing!E21</f>
        <v>75421640.012414381</v>
      </c>
      <c r="G42" s="482">
        <f>Financing!F21</f>
        <v>75421640.012414381</v>
      </c>
      <c r="H42" s="482">
        <f>Financing!G21</f>
        <v>89563533.665069491</v>
      </c>
      <c r="I42" s="973">
        <f>Financing!H21</f>
        <v>100972704.79077768</v>
      </c>
      <c r="J42" s="483">
        <f>Financing!I21</f>
        <v>100972704.79077768</v>
      </c>
      <c r="K42" s="483">
        <f>Financing!J21</f>
        <v>104358992.52045353</v>
      </c>
      <c r="L42" s="483">
        <f>Financing!K21</f>
        <v>107803727.36472288</v>
      </c>
      <c r="M42" s="484">
        <f>Financing!L21</f>
        <v>107803727.36472288</v>
      </c>
    </row>
    <row r="43" spans="1:13" ht="11.25" customHeight="1" x14ac:dyDescent="0.2">
      <c r="A43" s="854" t="s">
        <v>39</v>
      </c>
      <c r="B43" s="927"/>
      <c r="C43" s="851">
        <f>C40+NPV(0.09,D40:M40)</f>
        <v>2499854383.6743941</v>
      </c>
      <c r="D43" s="457"/>
      <c r="E43" s="457"/>
      <c r="F43" s="457"/>
      <c r="G43" s="64"/>
      <c r="H43" s="457"/>
      <c r="I43" s="457"/>
      <c r="J43" s="457"/>
      <c r="K43" s="457"/>
      <c r="L43" s="63"/>
      <c r="M43" s="457"/>
    </row>
    <row r="44" spans="1:13" ht="11.25" customHeight="1" thickBot="1" x14ac:dyDescent="0.25">
      <c r="A44" s="852" t="s">
        <v>83</v>
      </c>
      <c r="B44" s="927"/>
      <c r="C44" s="853">
        <f>K79/M37</f>
        <v>0.10547724838380762</v>
      </c>
      <c r="D44" s="457"/>
      <c r="E44" s="457"/>
      <c r="F44" s="457"/>
      <c r="G44" s="486"/>
      <c r="H44" s="457"/>
      <c r="I44" s="457"/>
      <c r="J44" s="457"/>
      <c r="K44" s="457"/>
      <c r="L44" s="63"/>
      <c r="M44" s="457"/>
    </row>
    <row r="45" spans="1:13" ht="11.25" customHeight="1" x14ac:dyDescent="0.2">
      <c r="A45" s="854" t="s">
        <v>105</v>
      </c>
      <c r="B45" s="927"/>
      <c r="C45" s="855">
        <f>IRR(C40:M40,0)</f>
        <v>0.37947041888208721</v>
      </c>
      <c r="D45" s="457"/>
      <c r="E45" s="457"/>
      <c r="F45" s="850" t="s">
        <v>106</v>
      </c>
      <c r="G45" s="891"/>
      <c r="H45" s="892">
        <f>C28</f>
        <v>64491500</v>
      </c>
      <c r="I45" s="457"/>
      <c r="J45" s="457"/>
      <c r="K45" s="457"/>
      <c r="L45" s="63"/>
      <c r="M45" s="457"/>
    </row>
    <row r="46" spans="1:13" ht="11.25" customHeight="1" thickBot="1" x14ac:dyDescent="0.25">
      <c r="A46" s="849" t="s">
        <v>90</v>
      </c>
      <c r="B46" s="953"/>
      <c r="C46" s="812">
        <f>Financing!B38</f>
        <v>0.39690045573296429</v>
      </c>
      <c r="D46" s="457"/>
      <c r="E46" s="457"/>
      <c r="F46" s="849" t="s">
        <v>107</v>
      </c>
      <c r="G46" s="890"/>
      <c r="H46" s="485">
        <f>M37</f>
        <v>6773807905.9220495</v>
      </c>
      <c r="I46" s="457"/>
      <c r="J46" s="457"/>
      <c r="K46" s="457"/>
      <c r="L46" s="63"/>
      <c r="M46" s="457"/>
    </row>
    <row r="47" spans="1:13" ht="11.25" customHeight="1" thickBot="1" x14ac:dyDescent="0.25">
      <c r="D47" s="64"/>
      <c r="E47" s="64"/>
      <c r="M47" s="60"/>
    </row>
    <row r="48" spans="1:13" s="57" customFormat="1" ht="11.25" customHeight="1" x14ac:dyDescent="0.2">
      <c r="A48" s="447" t="s">
        <v>73</v>
      </c>
      <c r="B48" s="448"/>
      <c r="C48" s="449"/>
      <c r="D48" s="449"/>
      <c r="E48" s="449"/>
      <c r="F48" s="449"/>
      <c r="G48" s="449"/>
      <c r="H48" s="449"/>
      <c r="I48" s="449"/>
      <c r="J48" s="449"/>
      <c r="K48" s="449"/>
      <c r="L48" s="449"/>
      <c r="M48" s="450"/>
    </row>
    <row r="49" spans="1:14" s="59" customFormat="1" ht="11.25" customHeight="1" x14ac:dyDescent="0.2">
      <c r="A49" s="1001"/>
      <c r="B49" s="1001"/>
      <c r="C49" s="1002" t="s">
        <v>274</v>
      </c>
      <c r="D49" s="411">
        <v>2020</v>
      </c>
      <c r="E49" s="411">
        <f t="shared" ref="E49:K49" si="7">D49+1</f>
        <v>2021</v>
      </c>
      <c r="F49" s="1003">
        <f t="shared" si="7"/>
        <v>2022</v>
      </c>
      <c r="G49" s="408">
        <f t="shared" si="7"/>
        <v>2023</v>
      </c>
      <c r="H49" s="408">
        <f t="shared" si="7"/>
        <v>2024</v>
      </c>
      <c r="I49" s="1004">
        <f t="shared" si="7"/>
        <v>2025</v>
      </c>
      <c r="J49" s="405">
        <f t="shared" si="7"/>
        <v>2026</v>
      </c>
      <c r="K49" s="405">
        <f t="shared" si="7"/>
        <v>2027</v>
      </c>
      <c r="L49" s="1005">
        <f>K49+1</f>
        <v>2028</v>
      </c>
      <c r="M49" s="452">
        <f>L49+1</f>
        <v>2029</v>
      </c>
    </row>
    <row r="50" spans="1:14" ht="11.25" customHeight="1" x14ac:dyDescent="0.2">
      <c r="A50" s="843" t="s">
        <v>7</v>
      </c>
      <c r="B50" s="843"/>
      <c r="C50" s="944"/>
      <c r="D50" s="413"/>
      <c r="E50" s="413"/>
      <c r="F50" s="931"/>
      <c r="G50" s="410"/>
      <c r="H50" s="410"/>
      <c r="I50" s="938"/>
      <c r="J50" s="407"/>
      <c r="K50" s="407"/>
      <c r="L50" s="830"/>
      <c r="M50" s="456"/>
    </row>
    <row r="51" spans="1:14" ht="11.25" customHeight="1" x14ac:dyDescent="0.2">
      <c r="A51" s="844" t="s">
        <v>81</v>
      </c>
      <c r="B51" s="845" t="s">
        <v>74</v>
      </c>
      <c r="C51" s="945" t="s">
        <v>44</v>
      </c>
      <c r="D51" s="868">
        <f>'2.Market-rate Rental Housing'!C8</f>
        <v>0</v>
      </c>
      <c r="E51" s="868">
        <f>'2.Market-rate Rental Housing'!D8</f>
        <v>93.676883949880661</v>
      </c>
      <c r="F51" s="932">
        <f>'2.Market-rate Rental Housing'!E8</f>
        <v>187.35376789976132</v>
      </c>
      <c r="G51" s="869">
        <f>'2.Market-rate Rental Housing'!F8</f>
        <v>187.35376789976132</v>
      </c>
      <c r="H51" s="869">
        <f>'2.Market-rate Rental Housing'!G8</f>
        <v>268.86800566825775</v>
      </c>
      <c r="I51" s="939">
        <f>'2.Market-rate Rental Housing'!H8</f>
        <v>350.38224343675415</v>
      </c>
      <c r="J51" s="870">
        <f>'2.Market-rate Rental Housing'!I8</f>
        <v>350.38224343675415</v>
      </c>
      <c r="K51" s="870">
        <f>'2.Market-rate Rental Housing'!J8</f>
        <v>368.05870525059663</v>
      </c>
      <c r="L51" s="870">
        <f>'2.Market-rate Rental Housing'!K8</f>
        <v>385.73516706443911</v>
      </c>
      <c r="M51" s="880">
        <f>'2.Market-rate Rental Housing'!L8</f>
        <v>385.73516706443911</v>
      </c>
    </row>
    <row r="52" spans="1:14" ht="11.25" customHeight="1" x14ac:dyDescent="0.2">
      <c r="A52" s="844"/>
      <c r="B52" s="845" t="s">
        <v>75</v>
      </c>
      <c r="C52" s="945" t="s">
        <v>44</v>
      </c>
      <c r="D52" s="871">
        <f>'3.Market-rate For-Sale Housing'!C11</f>
        <v>0</v>
      </c>
      <c r="E52" s="871">
        <f>'3.Market-rate For-Sale Housing'!D11</f>
        <v>266.97911925715988</v>
      </c>
      <c r="F52" s="933">
        <f>'3.Market-rate For-Sale Housing'!E11</f>
        <v>533.95823851431976</v>
      </c>
      <c r="G52" s="872">
        <f>'3.Market-rate For-Sale Housing'!F11</f>
        <v>533.95823851431976</v>
      </c>
      <c r="H52" s="872">
        <f>'3.Market-rate For-Sale Housing'!G11</f>
        <v>766.27381615453453</v>
      </c>
      <c r="I52" s="940">
        <f>'3.Market-rate For-Sale Housing'!H11</f>
        <v>998.5893937947493</v>
      </c>
      <c r="J52" s="873">
        <f>'3.Market-rate For-Sale Housing'!I11</f>
        <v>998.5893937947493</v>
      </c>
      <c r="K52" s="873">
        <f>'3.Market-rate For-Sale Housing'!J11</f>
        <v>1048.9673099642005</v>
      </c>
      <c r="L52" s="873">
        <f>'3.Market-rate For-Sale Housing'!K11</f>
        <v>1099.3452261336515</v>
      </c>
      <c r="M52" s="881">
        <f>'3.Market-rate For-Sale Housing'!L11</f>
        <v>1099.3452261336515</v>
      </c>
    </row>
    <row r="53" spans="1:14" ht="11.25" customHeight="1" x14ac:dyDescent="0.2">
      <c r="A53" s="844" t="s">
        <v>80</v>
      </c>
      <c r="B53" s="845" t="s">
        <v>74</v>
      </c>
      <c r="C53" s="945" t="s">
        <v>44</v>
      </c>
      <c r="D53" s="874">
        <f>'4.Affordable Rental Housing'!C8</f>
        <v>0</v>
      </c>
      <c r="E53" s="874">
        <f>'4.Affordable Rental Housing'!D8</f>
        <v>20.817085322195702</v>
      </c>
      <c r="F53" s="934">
        <f>'4.Affordable Rental Housing'!E8</f>
        <v>20.817085322195702</v>
      </c>
      <c r="G53" s="875">
        <f>'4.Affordable Rental Housing'!F8</f>
        <v>20.817085322195702</v>
      </c>
      <c r="H53" s="875">
        <f>'4.Affordable Rental Housing'!G8</f>
        <v>29.874222852028637</v>
      </c>
      <c r="I53" s="941">
        <f>'4.Affordable Rental Housing'!H8</f>
        <v>38.931360381861573</v>
      </c>
      <c r="J53" s="876">
        <f>'4.Affordable Rental Housing'!I8</f>
        <v>38.931360381861573</v>
      </c>
      <c r="K53" s="876">
        <f>'4.Affordable Rental Housing'!J8</f>
        <v>40.895411694510742</v>
      </c>
      <c r="L53" s="876">
        <f>'4.Affordable Rental Housing'!K8</f>
        <v>42.859463007159903</v>
      </c>
      <c r="M53" s="882">
        <f>'4.Affordable Rental Housing'!L8</f>
        <v>42.859463007159903</v>
      </c>
    </row>
    <row r="54" spans="1:14" ht="11.25" customHeight="1" x14ac:dyDescent="0.2">
      <c r="A54" s="844"/>
      <c r="B54" s="845" t="s">
        <v>75</v>
      </c>
      <c r="C54" s="945" t="s">
        <v>44</v>
      </c>
      <c r="D54" s="871">
        <f>'5.Affordable For-Sale Housing'!C11</f>
        <v>0</v>
      </c>
      <c r="E54" s="871">
        <f>'5.Affordable For-Sale Housing'!D11</f>
        <v>28.727577744630068</v>
      </c>
      <c r="F54" s="933">
        <f>'5.Affordable For-Sale Housing'!E11</f>
        <v>57.455155489260136</v>
      </c>
      <c r="G54" s="872">
        <f>'5.Affordable For-Sale Housing'!F11</f>
        <v>57.455155489260136</v>
      </c>
      <c r="H54" s="872">
        <f>'5.Affordable For-Sale Housing'!G11</f>
        <v>82.452855071599032</v>
      </c>
      <c r="I54" s="940">
        <f>'5.Affordable For-Sale Housing'!H11</f>
        <v>107.45055465393793</v>
      </c>
      <c r="J54" s="873">
        <f>'5.Affordable For-Sale Housing'!I11</f>
        <v>107.45055465393793</v>
      </c>
      <c r="K54" s="873">
        <f>'5.Affordable For-Sale Housing'!J11</f>
        <v>112.87133627684962</v>
      </c>
      <c r="L54" s="873">
        <f>'5.Affordable For-Sale Housing'!K11</f>
        <v>118.29211789976131</v>
      </c>
      <c r="M54" s="881">
        <f>'5.Affordable For-Sale Housing'!L11</f>
        <v>118.29211789976131</v>
      </c>
      <c r="N54" s="451"/>
    </row>
    <row r="55" spans="1:14" ht="11.25" customHeight="1" x14ac:dyDescent="0.2">
      <c r="A55" s="846" t="s">
        <v>78</v>
      </c>
      <c r="B55" s="846"/>
      <c r="C55" s="944" t="s">
        <v>46</v>
      </c>
      <c r="D55" s="877">
        <v>0</v>
      </c>
      <c r="E55" s="877">
        <v>0</v>
      </c>
      <c r="F55" s="935">
        <v>0</v>
      </c>
      <c r="G55" s="878">
        <v>0</v>
      </c>
      <c r="H55" s="878">
        <f>'8.Hotel'!G10</f>
        <v>422.79138461538457</v>
      </c>
      <c r="I55" s="942">
        <f>'8.Hotel'!H10</f>
        <v>422.79138461538457</v>
      </c>
      <c r="J55" s="879">
        <f>'8.Hotel'!I10</f>
        <v>422.79138461538457</v>
      </c>
      <c r="K55" s="879">
        <f>'8.Hotel'!J10</f>
        <v>422.79138461538457</v>
      </c>
      <c r="L55" s="879">
        <f>'8.Hotel'!K10</f>
        <v>422.79138461538457</v>
      </c>
      <c r="M55" s="883">
        <f>'8.Hotel'!L10</f>
        <v>422.79138461538457</v>
      </c>
    </row>
    <row r="56" spans="1:14" ht="11.25" customHeight="1" x14ac:dyDescent="0.2">
      <c r="A56" s="846" t="s">
        <v>79</v>
      </c>
      <c r="B56" s="846"/>
      <c r="C56" s="944" t="s">
        <v>47</v>
      </c>
      <c r="D56" s="877">
        <f>'11.Structured Parking'!C9</f>
        <v>0</v>
      </c>
      <c r="E56" s="877">
        <f>'11.Structured Parking'!D9</f>
        <v>284.56099999999998</v>
      </c>
      <c r="F56" s="935">
        <f>'11.Structured Parking'!E9</f>
        <v>569.12199999999996</v>
      </c>
      <c r="G56" s="878">
        <f>'11.Structured Parking'!F9</f>
        <v>569.12199999999996</v>
      </c>
      <c r="H56" s="878">
        <f>'11.Structured Parking'!G9</f>
        <v>772.98199999999997</v>
      </c>
      <c r="I56" s="942">
        <f>'11.Structured Parking'!H9</f>
        <v>976.84199999999998</v>
      </c>
      <c r="J56" s="879">
        <f>'11.Structured Parking'!I9</f>
        <v>976.84199999999998</v>
      </c>
      <c r="K56" s="879">
        <f>'11.Structured Parking'!J9</f>
        <v>1131.4859999999999</v>
      </c>
      <c r="L56" s="879">
        <f>'11.Structured Parking'!K9</f>
        <v>1286.1299999999999</v>
      </c>
      <c r="M56" s="883">
        <f>'11.Structured Parking'!L9</f>
        <v>1286.1299999999999</v>
      </c>
    </row>
    <row r="57" spans="1:14" ht="11.25" customHeight="1" x14ac:dyDescent="0.2">
      <c r="A57" s="846" t="s">
        <v>53</v>
      </c>
      <c r="B57" s="846"/>
      <c r="C57" s="944"/>
      <c r="D57" s="413"/>
      <c r="E57" s="413"/>
      <c r="F57" s="931"/>
      <c r="G57" s="410"/>
      <c r="H57" s="410"/>
      <c r="I57" s="938"/>
      <c r="J57" s="407"/>
      <c r="K57" s="407"/>
      <c r="L57" s="830"/>
      <c r="M57" s="456"/>
    </row>
    <row r="58" spans="1:14" ht="11.25" customHeight="1" x14ac:dyDescent="0.2">
      <c r="A58" s="843" t="s">
        <v>43</v>
      </c>
      <c r="B58" s="843"/>
      <c r="C58" s="944"/>
      <c r="D58" s="413"/>
      <c r="E58" s="413"/>
      <c r="F58" s="931"/>
      <c r="G58" s="410"/>
      <c r="H58" s="410"/>
      <c r="I58" s="938"/>
      <c r="J58" s="407"/>
      <c r="K58" s="407"/>
      <c r="L58" s="830"/>
      <c r="M58" s="456"/>
    </row>
    <row r="59" spans="1:14" ht="11.25" customHeight="1" x14ac:dyDescent="0.2">
      <c r="A59" s="844" t="s">
        <v>81</v>
      </c>
      <c r="B59" s="845" t="s">
        <v>74</v>
      </c>
      <c r="C59" s="944" t="s">
        <v>45</v>
      </c>
      <c r="D59" s="871">
        <f>'Development Schedule'!D9</f>
        <v>0</v>
      </c>
      <c r="E59" s="871">
        <f>'Development Schedule'!E9</f>
        <v>112144.6125</v>
      </c>
      <c r="F59" s="933">
        <f>'Development Schedule'!F9</f>
        <v>112144.6125</v>
      </c>
      <c r="G59" s="872">
        <f>'Development Schedule'!G9</f>
        <v>0</v>
      </c>
      <c r="H59" s="872">
        <f>'Development Schedule'!H9</f>
        <v>97584.1875</v>
      </c>
      <c r="I59" s="940">
        <f>'Development Schedule'!I9</f>
        <v>97584.1875</v>
      </c>
      <c r="J59" s="873">
        <f>'Development Schedule'!J9</f>
        <v>0</v>
      </c>
      <c r="K59" s="873">
        <f>'Development Schedule'!K9</f>
        <v>21161.25</v>
      </c>
      <c r="L59" s="873">
        <f>'Development Schedule'!L9</f>
        <v>21161.25</v>
      </c>
      <c r="M59" s="881">
        <f>'Development Schedule'!M9</f>
        <v>0</v>
      </c>
    </row>
    <row r="60" spans="1:14" ht="11.25" customHeight="1" x14ac:dyDescent="0.2">
      <c r="A60" s="844"/>
      <c r="B60" s="845" t="s">
        <v>75</v>
      </c>
      <c r="C60" s="944" t="s">
        <v>45</v>
      </c>
      <c r="D60" s="871">
        <f>'Development Schedule'!D11</f>
        <v>0</v>
      </c>
      <c r="E60" s="871">
        <f>'Development Schedule'!E11</f>
        <v>336433.83750000002</v>
      </c>
      <c r="F60" s="933">
        <f>'Development Schedule'!F11</f>
        <v>336433.83750000002</v>
      </c>
      <c r="G60" s="872">
        <f>'Development Schedule'!G11</f>
        <v>0</v>
      </c>
      <c r="H60" s="872">
        <f>'Development Schedule'!H11</f>
        <v>292752.5625</v>
      </c>
      <c r="I60" s="940">
        <f>'Development Schedule'!I11</f>
        <v>292752.5625</v>
      </c>
      <c r="J60" s="873">
        <f>'Development Schedule'!J11</f>
        <v>0</v>
      </c>
      <c r="K60" s="873">
        <f>'Development Schedule'!K11</f>
        <v>63483.75</v>
      </c>
      <c r="L60" s="873">
        <f>'Development Schedule'!L11</f>
        <v>63483.75</v>
      </c>
      <c r="M60" s="881">
        <f>'Development Schedule'!M11</f>
        <v>0</v>
      </c>
    </row>
    <row r="61" spans="1:14" ht="11.25" customHeight="1" x14ac:dyDescent="0.2">
      <c r="A61" s="844" t="s">
        <v>80</v>
      </c>
      <c r="B61" s="845" t="s">
        <v>74</v>
      </c>
      <c r="C61" s="944" t="s">
        <v>45</v>
      </c>
      <c r="D61" s="871">
        <f>'Development Schedule'!D10</f>
        <v>0</v>
      </c>
      <c r="E61" s="871">
        <f>'Development Schedule'!E10</f>
        <v>24921.025000000001</v>
      </c>
      <c r="F61" s="933">
        <f>'Development Schedule'!F10</f>
        <v>0</v>
      </c>
      <c r="G61" s="872">
        <f>'Development Schedule'!G10</f>
        <v>0</v>
      </c>
      <c r="H61" s="872">
        <f>'Development Schedule'!H10</f>
        <v>10842.6875</v>
      </c>
      <c r="I61" s="940">
        <f>'Development Schedule'!I10</f>
        <v>10842.6875</v>
      </c>
      <c r="J61" s="873">
        <f>'Development Schedule'!J10</f>
        <v>0</v>
      </c>
      <c r="K61" s="873">
        <f>'Development Schedule'!K10</f>
        <v>2351.25</v>
      </c>
      <c r="L61" s="873">
        <f>'Development Schedule'!L10</f>
        <v>2351.25</v>
      </c>
      <c r="M61" s="881">
        <f>'Development Schedule'!M10</f>
        <v>0</v>
      </c>
    </row>
    <row r="62" spans="1:14" ht="11.25" customHeight="1" x14ac:dyDescent="0.2">
      <c r="A62" s="844"/>
      <c r="B62" s="845" t="s">
        <v>75</v>
      </c>
      <c r="C62" s="944" t="s">
        <v>45</v>
      </c>
      <c r="D62" s="871">
        <f>'Development Schedule'!D12</f>
        <v>0</v>
      </c>
      <c r="E62" s="871">
        <f>'Development Schedule'!E12</f>
        <v>37381.537500000006</v>
      </c>
      <c r="F62" s="933">
        <f>'Development Schedule'!F12</f>
        <v>37381.537500000006</v>
      </c>
      <c r="G62" s="872">
        <f>'Development Schedule'!G12</f>
        <v>0</v>
      </c>
      <c r="H62" s="872">
        <f>'Development Schedule'!H12</f>
        <v>32528.0625</v>
      </c>
      <c r="I62" s="940">
        <f>'Development Schedule'!I12</f>
        <v>32528.0625</v>
      </c>
      <c r="J62" s="873">
        <f>'Development Schedule'!J12</f>
        <v>0</v>
      </c>
      <c r="K62" s="873">
        <f>'Development Schedule'!K12</f>
        <v>7053.75</v>
      </c>
      <c r="L62" s="873">
        <f>'Development Schedule'!L12</f>
        <v>7053.75</v>
      </c>
      <c r="M62" s="881">
        <f>'Development Schedule'!M12</f>
        <v>0</v>
      </c>
    </row>
    <row r="63" spans="1:14" ht="11.25" customHeight="1" x14ac:dyDescent="0.2">
      <c r="A63" s="846" t="s">
        <v>76</v>
      </c>
      <c r="B63" s="846"/>
      <c r="C63" s="944" t="s">
        <v>45</v>
      </c>
      <c r="D63" s="871">
        <f>'Development Schedule'!D13</f>
        <v>0</v>
      </c>
      <c r="E63" s="871">
        <f>'Development Schedule'!E13</f>
        <v>383506</v>
      </c>
      <c r="F63" s="933">
        <f>'Development Schedule'!F13</f>
        <v>383506</v>
      </c>
      <c r="G63" s="872">
        <f>'Development Schedule'!G13</f>
        <v>0</v>
      </c>
      <c r="H63" s="872">
        <f>'Development Schedule'!H13</f>
        <v>273959.5</v>
      </c>
      <c r="I63" s="940">
        <f>'Development Schedule'!I13</f>
        <v>273959.5</v>
      </c>
      <c r="J63" s="873">
        <f>'Development Schedule'!J13</f>
        <v>0</v>
      </c>
      <c r="K63" s="873">
        <f>'Development Schedule'!K13</f>
        <v>85500</v>
      </c>
      <c r="L63" s="873">
        <f>'Development Schedule'!L13</f>
        <v>85500</v>
      </c>
      <c r="M63" s="881">
        <f>'Development Schedule'!M13</f>
        <v>0</v>
      </c>
    </row>
    <row r="64" spans="1:14" ht="11.25" customHeight="1" x14ac:dyDescent="0.2">
      <c r="A64" s="846" t="s">
        <v>110</v>
      </c>
      <c r="B64" s="846"/>
      <c r="C64" s="944" t="s">
        <v>45</v>
      </c>
      <c r="D64" s="871">
        <f>'Development Schedule'!D6</f>
        <v>0</v>
      </c>
      <c r="E64" s="871">
        <f>'Development Schedule'!E6</f>
        <v>47857</v>
      </c>
      <c r="F64" s="933">
        <f>'Development Schedule'!F6</f>
        <v>47857</v>
      </c>
      <c r="G64" s="872">
        <f>'Development Schedule'!G6</f>
        <v>0</v>
      </c>
      <c r="H64" s="872">
        <f>'Development Schedule'!H6</f>
        <v>43568</v>
      </c>
      <c r="I64" s="940">
        <f>'Development Schedule'!I6</f>
        <v>43568</v>
      </c>
      <c r="J64" s="873">
        <f>'Development Schedule'!J6</f>
        <v>0</v>
      </c>
      <c r="K64" s="873">
        <f>'Development Schedule'!K6</f>
        <v>36264</v>
      </c>
      <c r="L64" s="873">
        <f>'Development Schedule'!L6</f>
        <v>36264</v>
      </c>
      <c r="M64" s="881">
        <f>'Development Schedule'!M6</f>
        <v>0</v>
      </c>
    </row>
    <row r="65" spans="1:15" ht="11.25" customHeight="1" x14ac:dyDescent="0.2">
      <c r="A65" s="846" t="s">
        <v>78</v>
      </c>
      <c r="B65" s="846"/>
      <c r="C65" s="944" t="s">
        <v>45</v>
      </c>
      <c r="D65" s="871">
        <f>'Development Schedule'!D14</f>
        <v>0</v>
      </c>
      <c r="E65" s="871">
        <f>'Development Schedule'!E14</f>
        <v>0</v>
      </c>
      <c r="F65" s="933">
        <f>'Development Schedule'!F14</f>
        <v>0</v>
      </c>
      <c r="G65" s="872">
        <f>'Development Schedule'!G14</f>
        <v>0</v>
      </c>
      <c r="H65" s="872">
        <f>'Development Schedule'!H14</f>
        <v>196296</v>
      </c>
      <c r="I65" s="940">
        <f>'Development Schedule'!I14</f>
        <v>0</v>
      </c>
      <c r="J65" s="873">
        <f>'Development Schedule'!J14</f>
        <v>0</v>
      </c>
      <c r="K65" s="873">
        <f>'Development Schedule'!K14</f>
        <v>0</v>
      </c>
      <c r="L65" s="873">
        <f>'Development Schedule'!L14</f>
        <v>0</v>
      </c>
      <c r="M65" s="881">
        <f>'Development Schedule'!M14</f>
        <v>0</v>
      </c>
    </row>
    <row r="66" spans="1:15" ht="11.25" customHeight="1" x14ac:dyDescent="0.2">
      <c r="A66" s="846" t="s">
        <v>79</v>
      </c>
      <c r="B66" s="846"/>
      <c r="C66" s="944" t="s">
        <v>45</v>
      </c>
      <c r="D66" s="871">
        <f>'Development Schedule'!D20</f>
        <v>0</v>
      </c>
      <c r="E66" s="871">
        <f>'Development Schedule'!E20</f>
        <v>142280.5</v>
      </c>
      <c r="F66" s="933">
        <f>'Development Schedule'!F20</f>
        <v>142280.5</v>
      </c>
      <c r="G66" s="872">
        <f>'Development Schedule'!G20</f>
        <v>0</v>
      </c>
      <c r="H66" s="872">
        <f>'Development Schedule'!H20</f>
        <v>101930</v>
      </c>
      <c r="I66" s="940">
        <f>'Development Schedule'!I20</f>
        <v>101930</v>
      </c>
      <c r="J66" s="873">
        <f>'Development Schedule'!J20</f>
        <v>0</v>
      </c>
      <c r="K66" s="873">
        <f>'Development Schedule'!K20</f>
        <v>77322</v>
      </c>
      <c r="L66" s="873">
        <f>'Development Schedule'!L20</f>
        <v>77322</v>
      </c>
      <c r="M66" s="881">
        <f>'Development Schedule'!M20</f>
        <v>0</v>
      </c>
      <c r="O66" s="404"/>
    </row>
    <row r="67" spans="1:15" ht="11.25" customHeight="1" x14ac:dyDescent="0.2">
      <c r="A67" s="846" t="s">
        <v>53</v>
      </c>
      <c r="B67" s="846"/>
      <c r="C67" s="944" t="s">
        <v>45</v>
      </c>
      <c r="D67" s="413"/>
      <c r="E67" s="413"/>
      <c r="F67" s="931"/>
      <c r="G67" s="410"/>
      <c r="H67" s="410"/>
      <c r="I67" s="938"/>
      <c r="J67" s="407"/>
      <c r="K67" s="407"/>
      <c r="L67" s="830"/>
      <c r="M67" s="456"/>
    </row>
    <row r="68" spans="1:15" ht="11.25" customHeight="1" thickBot="1" x14ac:dyDescent="0.25">
      <c r="A68" s="888" t="s">
        <v>48</v>
      </c>
      <c r="B68" s="889"/>
      <c r="C68" s="946" t="s">
        <v>45</v>
      </c>
      <c r="D68" s="884">
        <f t="shared" ref="D68:M68" si="8">SUM(D59:D67)</f>
        <v>0</v>
      </c>
      <c r="E68" s="884">
        <f t="shared" si="8"/>
        <v>1084524.5125000002</v>
      </c>
      <c r="F68" s="936">
        <f t="shared" si="8"/>
        <v>1059603.4875</v>
      </c>
      <c r="G68" s="885">
        <f t="shared" si="8"/>
        <v>0</v>
      </c>
      <c r="H68" s="885">
        <f t="shared" si="8"/>
        <v>1049461</v>
      </c>
      <c r="I68" s="943">
        <f t="shared" si="8"/>
        <v>853165</v>
      </c>
      <c r="J68" s="886">
        <f t="shared" si="8"/>
        <v>0</v>
      </c>
      <c r="K68" s="886">
        <f t="shared" si="8"/>
        <v>293136</v>
      </c>
      <c r="L68" s="886">
        <f t="shared" si="8"/>
        <v>293136</v>
      </c>
      <c r="M68" s="887">
        <f t="shared" si="8"/>
        <v>0</v>
      </c>
    </row>
    <row r="69" spans="1:15" ht="11.25" customHeight="1" thickBot="1" x14ac:dyDescent="0.25"/>
    <row r="70" spans="1:15" s="57" customFormat="1" ht="11.25" customHeight="1" x14ac:dyDescent="0.2">
      <c r="A70" s="447" t="s">
        <v>84</v>
      </c>
      <c r="B70" s="448"/>
      <c r="C70" s="449"/>
      <c r="D70" s="449"/>
      <c r="E70" s="449"/>
      <c r="F70" s="450"/>
      <c r="G70" s="61"/>
      <c r="H70" s="1006" t="s">
        <v>85</v>
      </c>
      <c r="I70" s="1007"/>
      <c r="J70" s="1007"/>
      <c r="K70" s="1007"/>
      <c r="L70" s="1007"/>
      <c r="M70" s="1008"/>
    </row>
    <row r="71" spans="1:15" s="62" customFormat="1" ht="11.25" customHeight="1" x14ac:dyDescent="0.2">
      <c r="A71" s="992" t="s">
        <v>2</v>
      </c>
      <c r="B71" s="993"/>
      <c r="C71" s="994" t="s">
        <v>89</v>
      </c>
      <c r="D71" s="995"/>
      <c r="E71" s="996" t="s">
        <v>54</v>
      </c>
      <c r="F71" s="997"/>
      <c r="H71" s="998"/>
      <c r="I71" s="999"/>
      <c r="J71" s="995"/>
      <c r="K71" s="994" t="s">
        <v>86</v>
      </c>
      <c r="L71" s="994"/>
      <c r="M71" s="1000" t="s">
        <v>52</v>
      </c>
    </row>
    <row r="72" spans="1:15" ht="11.25" customHeight="1" x14ac:dyDescent="0.2">
      <c r="A72" s="859" t="s">
        <v>81</v>
      </c>
      <c r="B72" s="926" t="s">
        <v>74</v>
      </c>
      <c r="C72" s="818">
        <f>E72/M51</f>
        <v>255892.27758713512</v>
      </c>
      <c r="D72" s="846"/>
      <c r="E72" s="975">
        <f t="shared" ref="E72:E79" si="9">SUM(C19:M19)</f>
        <v>98706650.44557339</v>
      </c>
      <c r="F72" s="896"/>
      <c r="H72" s="898" t="s">
        <v>87</v>
      </c>
      <c r="I72" s="923"/>
      <c r="J72" s="846"/>
      <c r="K72" s="816">
        <f>SUM(Financing!C49:C52)</f>
        <v>439681611.69054759</v>
      </c>
      <c r="L72" s="841"/>
      <c r="M72" s="899">
        <f>K72/SUM(K72:K89)</f>
        <v>0.25806451612903225</v>
      </c>
    </row>
    <row r="73" spans="1:15" ht="11.25" customHeight="1" x14ac:dyDescent="0.2">
      <c r="A73" s="859"/>
      <c r="B73" s="926" t="s">
        <v>75</v>
      </c>
      <c r="C73" s="818">
        <f>E73/M52</f>
        <v>336700.36524623039</v>
      </c>
      <c r="D73" s="846"/>
      <c r="E73" s="975">
        <f t="shared" si="9"/>
        <v>370149939.17090023</v>
      </c>
      <c r="F73" s="896"/>
      <c r="H73" s="859" t="s">
        <v>171</v>
      </c>
      <c r="I73" s="923"/>
      <c r="J73" s="846"/>
      <c r="K73" s="894">
        <f>Financing!C48</f>
        <v>164880604.38395533</v>
      </c>
      <c r="L73" s="846"/>
      <c r="M73" s="900">
        <f>K73/SUM(K72:K89)</f>
        <v>9.677419354838708E-2</v>
      </c>
    </row>
    <row r="74" spans="1:15" ht="11.25" customHeight="1" x14ac:dyDescent="0.2">
      <c r="A74" s="859" t="s">
        <v>80</v>
      </c>
      <c r="B74" s="926" t="s">
        <v>74</v>
      </c>
      <c r="C74" s="818">
        <f>E74/M53</f>
        <v>165558.96565843638</v>
      </c>
      <c r="D74" s="846"/>
      <c r="E74" s="975">
        <f t="shared" si="9"/>
        <v>7095768.3641414111</v>
      </c>
      <c r="F74" s="896"/>
      <c r="H74" s="901" t="s">
        <v>297</v>
      </c>
      <c r="I74" s="923"/>
      <c r="J74" s="846"/>
      <c r="K74" s="895"/>
      <c r="L74" s="845"/>
      <c r="M74" s="899"/>
    </row>
    <row r="75" spans="1:15" ht="11.25" customHeight="1" x14ac:dyDescent="0.2">
      <c r="A75" s="859"/>
      <c r="B75" s="926" t="s">
        <v>75</v>
      </c>
      <c r="C75" s="818">
        <f>E75/M54</f>
        <v>347679.72498252062</v>
      </c>
      <c r="D75" s="846"/>
      <c r="E75" s="975">
        <f t="shared" si="9"/>
        <v>41127771.018988915</v>
      </c>
      <c r="F75" s="896"/>
      <c r="H75" s="859"/>
      <c r="I75" s="923"/>
      <c r="J75" s="846"/>
      <c r="K75" s="820"/>
      <c r="L75" s="846"/>
      <c r="M75" s="900"/>
    </row>
    <row r="76" spans="1:15" ht="11.25" customHeight="1" x14ac:dyDescent="0.2">
      <c r="A76" s="860" t="s">
        <v>182</v>
      </c>
      <c r="B76" s="923"/>
      <c r="C76" s="818">
        <f>E76/SUM(D63:M63)</f>
        <v>213.68169345703097</v>
      </c>
      <c r="D76" s="846"/>
      <c r="E76" s="975">
        <f t="shared" si="9"/>
        <v>317516252.44029951</v>
      </c>
      <c r="F76" s="896"/>
      <c r="H76" s="859"/>
      <c r="I76" s="923"/>
      <c r="J76" s="846"/>
      <c r="K76" s="820"/>
      <c r="L76" s="846"/>
      <c r="M76" s="900"/>
    </row>
    <row r="77" spans="1:15" ht="11.25" customHeight="1" x14ac:dyDescent="0.2">
      <c r="A77" s="860" t="s">
        <v>275</v>
      </c>
      <c r="B77" s="923"/>
      <c r="C77" s="818">
        <f>E77/SUM(D64:M64)</f>
        <v>76.203935616027238</v>
      </c>
      <c r="D77" s="846"/>
      <c r="E77" s="975">
        <f t="shared" si="9"/>
        <v>19460808.669749804</v>
      </c>
      <c r="F77" s="896"/>
      <c r="H77" s="859"/>
      <c r="I77" s="923"/>
      <c r="J77" s="846"/>
      <c r="K77" s="820"/>
      <c r="L77" s="846"/>
      <c r="M77" s="900"/>
    </row>
    <row r="78" spans="1:15" ht="11.25" customHeight="1" x14ac:dyDescent="0.2">
      <c r="A78" s="860" t="s">
        <v>78</v>
      </c>
      <c r="B78" s="923"/>
      <c r="C78" s="819">
        <f>E78/M55</f>
        <v>116071.42857142858</v>
      </c>
      <c r="D78" s="846"/>
      <c r="E78" s="975">
        <f t="shared" si="9"/>
        <v>49074000</v>
      </c>
      <c r="F78" s="896"/>
      <c r="H78" s="861" t="s">
        <v>88</v>
      </c>
      <c r="I78" s="923"/>
      <c r="J78" s="846"/>
      <c r="K78" s="820"/>
      <c r="L78" s="846"/>
      <c r="M78" s="900"/>
    </row>
    <row r="79" spans="1:15" ht="11.25" customHeight="1" x14ac:dyDescent="0.2">
      <c r="A79" s="860" t="s">
        <v>79</v>
      </c>
      <c r="B79" s="923"/>
      <c r="C79" s="819">
        <f>E79/M56</f>
        <v>50000.000000000007</v>
      </c>
      <c r="D79" s="846"/>
      <c r="E79" s="975">
        <f t="shared" si="9"/>
        <v>64306500</v>
      </c>
      <c r="F79" s="896"/>
      <c r="H79" s="860" t="s">
        <v>173</v>
      </c>
      <c r="I79" s="923"/>
      <c r="J79" s="846"/>
      <c r="K79" s="894">
        <f>Financing!C47</f>
        <v>714482618.99713981</v>
      </c>
      <c r="L79" s="846"/>
      <c r="M79" s="900">
        <f>K79/SUM(K72:K89)</f>
        <v>0.41935483870967738</v>
      </c>
    </row>
    <row r="80" spans="1:15" ht="11.25" customHeight="1" x14ac:dyDescent="0.2">
      <c r="A80" s="860" t="s">
        <v>53</v>
      </c>
      <c r="B80" s="923"/>
      <c r="C80" s="818"/>
      <c r="D80" s="846"/>
      <c r="E80" s="975"/>
      <c r="F80" s="896"/>
      <c r="H80" s="860" t="s">
        <v>172</v>
      </c>
      <c r="I80" s="923"/>
      <c r="J80" s="846"/>
      <c r="K80" s="894">
        <f>Financing!C48</f>
        <v>164880604.38395533</v>
      </c>
      <c r="L80" s="846"/>
      <c r="M80" s="900">
        <f>K80/SUM(K72:K89)</f>
        <v>9.677419354838708E-2</v>
      </c>
    </row>
    <row r="81" spans="1:13" ht="11.25" customHeight="1" x14ac:dyDescent="0.2">
      <c r="A81" s="854" t="s">
        <v>15</v>
      </c>
      <c r="B81" s="927"/>
      <c r="C81" s="893" t="s">
        <v>95</v>
      </c>
      <c r="D81" s="847"/>
      <c r="E81" s="976" t="s">
        <v>98</v>
      </c>
      <c r="F81" s="897"/>
      <c r="H81" s="856"/>
      <c r="I81" s="924"/>
      <c r="J81" s="841"/>
      <c r="K81" s="816"/>
      <c r="L81" s="841"/>
      <c r="M81" s="817"/>
    </row>
    <row r="82" spans="1:13" ht="11.25" customHeight="1" x14ac:dyDescent="0.2">
      <c r="A82" s="856"/>
      <c r="B82" s="926" t="s">
        <v>99</v>
      </c>
      <c r="C82" s="821">
        <f>SUM('1.Infrastructure Costs'!C23:N23)/6</f>
        <v>8386163.3842092054</v>
      </c>
      <c r="D82" s="846"/>
      <c r="E82" s="975"/>
      <c r="F82" s="896"/>
      <c r="H82" s="856"/>
      <c r="I82" s="924"/>
      <c r="J82" s="841"/>
      <c r="K82" s="816"/>
      <c r="L82" s="841"/>
      <c r="M82" s="817"/>
    </row>
    <row r="83" spans="1:13" ht="11.25" customHeight="1" x14ac:dyDescent="0.2">
      <c r="A83" s="856"/>
      <c r="B83" s="926" t="s">
        <v>91</v>
      </c>
      <c r="C83" s="821">
        <f>C82/6</f>
        <v>1397693.8973682008</v>
      </c>
      <c r="D83" s="846"/>
      <c r="E83" s="975"/>
      <c r="F83" s="896"/>
      <c r="H83" s="856"/>
      <c r="I83" s="924"/>
      <c r="J83" s="841"/>
      <c r="K83" s="816"/>
      <c r="L83" s="841"/>
      <c r="M83" s="817"/>
    </row>
    <row r="84" spans="1:13" ht="11.25" customHeight="1" x14ac:dyDescent="0.2">
      <c r="A84" s="856"/>
      <c r="B84" s="926" t="s">
        <v>94</v>
      </c>
      <c r="C84" s="821">
        <f>C82*1.5</f>
        <v>12579245.076313809</v>
      </c>
      <c r="D84" s="846"/>
      <c r="E84" s="975"/>
      <c r="F84" s="896"/>
      <c r="H84" s="856"/>
      <c r="I84" s="924"/>
      <c r="J84" s="841"/>
      <c r="K84" s="816"/>
      <c r="L84" s="841"/>
      <c r="M84" s="817"/>
    </row>
    <row r="85" spans="1:13" ht="11.25" customHeight="1" x14ac:dyDescent="0.2">
      <c r="A85" s="856"/>
      <c r="B85" s="926" t="s">
        <v>93</v>
      </c>
      <c r="C85" s="820"/>
      <c r="D85" s="846"/>
      <c r="E85" s="975">
        <f>SUM('1.Infrastructure Costs'!D18:N18)</f>
        <v>8478929.405730132</v>
      </c>
      <c r="F85" s="896"/>
      <c r="H85" s="861" t="s">
        <v>108</v>
      </c>
      <c r="I85" s="923"/>
      <c r="J85" s="846"/>
      <c r="K85" s="816"/>
      <c r="L85" s="846"/>
      <c r="M85" s="900"/>
    </row>
    <row r="86" spans="1:13" ht="11.25" customHeight="1" x14ac:dyDescent="0.2">
      <c r="A86" s="856"/>
      <c r="B86" s="926" t="s">
        <v>92</v>
      </c>
      <c r="C86" s="820"/>
      <c r="D86" s="846"/>
      <c r="E86" s="975"/>
      <c r="F86" s="896"/>
      <c r="H86" s="860" t="s">
        <v>171</v>
      </c>
      <c r="I86" s="923"/>
      <c r="J86" s="846"/>
      <c r="K86" s="894"/>
      <c r="L86" s="846"/>
      <c r="M86" s="900"/>
    </row>
    <row r="87" spans="1:13" ht="11.25" customHeight="1" x14ac:dyDescent="0.2">
      <c r="A87" s="854"/>
      <c r="B87" s="928" t="s">
        <v>115</v>
      </c>
      <c r="C87" s="820"/>
      <c r="D87" s="846"/>
      <c r="E87" s="975"/>
      <c r="F87" s="896"/>
      <c r="H87" s="860"/>
      <c r="I87" s="923" t="s">
        <v>301</v>
      </c>
      <c r="J87" s="846"/>
      <c r="K87" s="894">
        <f>Financing!C50</f>
        <v>109920402.9226369</v>
      </c>
      <c r="L87" s="846"/>
      <c r="M87" s="900">
        <f>K87/SUM(K72:K89)</f>
        <v>6.4516129032258063E-2</v>
      </c>
    </row>
    <row r="88" spans="1:13" ht="11.25" customHeight="1" thickBot="1" x14ac:dyDescent="0.25">
      <c r="A88" s="854"/>
      <c r="B88" s="928" t="s">
        <v>51</v>
      </c>
      <c r="C88" s="821">
        <f>SUM('1.Infrastructure Costs'!D23:N23)</f>
        <v>50316980.305255234</v>
      </c>
      <c r="D88" s="846"/>
      <c r="E88" s="977">
        <f>SUM(E82:E86)</f>
        <v>8478929.405730132</v>
      </c>
      <c r="F88" s="896"/>
      <c r="H88" s="860"/>
      <c r="I88" s="923" t="s">
        <v>300</v>
      </c>
      <c r="J88" s="846"/>
      <c r="K88" s="894">
        <f>Financing!C51</f>
        <v>65952241.753582135</v>
      </c>
      <c r="L88" s="846"/>
      <c r="M88" s="900">
        <f>K88/SUM(K72:K89)</f>
        <v>3.8709677419354833E-2</v>
      </c>
    </row>
    <row r="89" spans="1:13" ht="11.25" customHeight="1" thickBot="1" x14ac:dyDescent="0.25">
      <c r="A89" s="902"/>
      <c r="B89" s="929" t="s">
        <v>3</v>
      </c>
      <c r="C89" s="903"/>
      <c r="D89" s="904"/>
      <c r="E89" s="978">
        <f>SUM(E72:E88)+C88</f>
        <v>1034712529.2263689</v>
      </c>
      <c r="F89" s="905"/>
      <c r="H89" s="860"/>
      <c r="I89" s="923" t="s">
        <v>296</v>
      </c>
      <c r="J89" s="846"/>
      <c r="K89" s="894">
        <f>Financing!C52</f>
        <v>43968161.169054762</v>
      </c>
      <c r="L89" s="846"/>
      <c r="M89" s="900">
        <f>K89/SUM(K72:K89)</f>
        <v>2.5806451612903226E-2</v>
      </c>
    </row>
    <row r="90" spans="1:13" ht="11.25" customHeight="1" thickBot="1" x14ac:dyDescent="0.25">
      <c r="A90" s="66"/>
      <c r="B90" s="66"/>
      <c r="C90" s="65"/>
      <c r="D90" s="66"/>
      <c r="E90" s="66"/>
      <c r="F90" s="66"/>
      <c r="H90" s="860"/>
      <c r="I90" s="925"/>
      <c r="J90" s="846"/>
      <c r="K90" s="820"/>
      <c r="L90" s="846"/>
      <c r="M90" s="900"/>
    </row>
    <row r="91" spans="1:13" ht="11.25" customHeight="1" thickBot="1" x14ac:dyDescent="0.25">
      <c r="A91" s="1006" t="s">
        <v>276</v>
      </c>
      <c r="B91" s="1007"/>
      <c r="C91" s="1007"/>
      <c r="D91" s="1007"/>
      <c r="E91" s="1007"/>
      <c r="F91" s="1008"/>
      <c r="G91" s="64"/>
      <c r="H91" s="906" t="s">
        <v>48</v>
      </c>
      <c r="I91" s="904"/>
      <c r="J91" s="904"/>
      <c r="K91" s="907"/>
      <c r="L91" s="904"/>
      <c r="M91" s="908">
        <f>SUM(M72:M90)</f>
        <v>1</v>
      </c>
    </row>
    <row r="92" spans="1:13" ht="14.1" customHeight="1" x14ac:dyDescent="0.2">
      <c r="A92" s="913" t="s">
        <v>184</v>
      </c>
      <c r="B92" s="918" t="s">
        <v>277</v>
      </c>
      <c r="C92" s="842" t="s">
        <v>278</v>
      </c>
      <c r="D92" s="841" t="s">
        <v>280</v>
      </c>
      <c r="E92" s="841" t="s">
        <v>279</v>
      </c>
      <c r="F92" s="912" t="s">
        <v>281</v>
      </c>
    </row>
    <row r="93" spans="1:13" ht="14.1" customHeight="1" x14ac:dyDescent="0.2">
      <c r="A93" s="914" t="s">
        <v>305</v>
      </c>
      <c r="B93" s="919"/>
      <c r="C93" s="438">
        <v>100</v>
      </c>
      <c r="D93" s="413">
        <f>'Development Schedule by Lot'!O5</f>
        <v>72900</v>
      </c>
      <c r="E93" s="476">
        <f>D93*C93</f>
        <v>7290000</v>
      </c>
      <c r="F93" s="439" t="s">
        <v>282</v>
      </c>
    </row>
    <row r="94" spans="1:13" ht="14.1" customHeight="1" x14ac:dyDescent="0.2">
      <c r="A94" s="914" t="s">
        <v>209</v>
      </c>
      <c r="B94" s="919" t="s">
        <v>210</v>
      </c>
      <c r="C94" s="438">
        <v>100</v>
      </c>
      <c r="D94" s="413">
        <f>'Development Schedule by Lot'!C5</f>
        <v>54161</v>
      </c>
      <c r="E94" s="476">
        <f t="shared" ref="E94:E104" si="10">D94*C94</f>
        <v>5416100</v>
      </c>
      <c r="F94" s="439" t="s">
        <v>282</v>
      </c>
    </row>
    <row r="95" spans="1:13" ht="14.1" customHeight="1" x14ac:dyDescent="0.2">
      <c r="A95" s="914"/>
      <c r="B95" s="919" t="s">
        <v>211</v>
      </c>
      <c r="C95" s="438">
        <v>100</v>
      </c>
      <c r="D95" s="413">
        <f>'Development Schedule by Lot'!D5</f>
        <v>53934</v>
      </c>
      <c r="E95" s="476">
        <f t="shared" si="10"/>
        <v>5393400</v>
      </c>
      <c r="F95" s="439" t="s">
        <v>282</v>
      </c>
    </row>
    <row r="96" spans="1:13" ht="14.1" customHeight="1" x14ac:dyDescent="0.2">
      <c r="A96" s="914"/>
      <c r="B96" s="919" t="s">
        <v>212</v>
      </c>
      <c r="C96" s="438">
        <v>100</v>
      </c>
      <c r="D96" s="413">
        <f>'Development Schedule by Lot'!E5</f>
        <v>53418</v>
      </c>
      <c r="E96" s="476">
        <f t="shared" si="10"/>
        <v>5341800</v>
      </c>
      <c r="F96" s="439" t="s">
        <v>282</v>
      </c>
    </row>
    <row r="97" spans="1:6" ht="14.1" customHeight="1" x14ac:dyDescent="0.2">
      <c r="A97" s="914"/>
      <c r="B97" s="919" t="s">
        <v>213</v>
      </c>
      <c r="C97" s="438">
        <v>100</v>
      </c>
      <c r="D97" s="413">
        <f>'Development Schedule by Lot'!F5</f>
        <v>53996</v>
      </c>
      <c r="E97" s="476">
        <f t="shared" si="10"/>
        <v>5399600</v>
      </c>
      <c r="F97" s="439" t="s">
        <v>282</v>
      </c>
    </row>
    <row r="98" spans="1:6" ht="14.1" customHeight="1" x14ac:dyDescent="0.2">
      <c r="A98" s="915" t="s">
        <v>214</v>
      </c>
      <c r="B98" s="920"/>
      <c r="C98" s="440">
        <v>100</v>
      </c>
      <c r="D98" s="410">
        <f>'Development Schedule by Lot'!G5</f>
        <v>52206</v>
      </c>
      <c r="E98" s="477">
        <f t="shared" si="10"/>
        <v>5220600</v>
      </c>
      <c r="F98" s="441" t="s">
        <v>283</v>
      </c>
    </row>
    <row r="99" spans="1:6" ht="14.1" customHeight="1" x14ac:dyDescent="0.2">
      <c r="A99" s="915" t="s">
        <v>215</v>
      </c>
      <c r="B99" s="920" t="s">
        <v>216</v>
      </c>
      <c r="C99" s="440">
        <v>100</v>
      </c>
      <c r="D99" s="410">
        <f>'Development Schedule by Lot'!H5/2</f>
        <v>49795</v>
      </c>
      <c r="E99" s="477">
        <f t="shared" si="10"/>
        <v>4979500</v>
      </c>
      <c r="F99" s="441" t="s">
        <v>283</v>
      </c>
    </row>
    <row r="100" spans="1:6" ht="14.1" customHeight="1" x14ac:dyDescent="0.2">
      <c r="A100" s="915"/>
      <c r="B100" s="920" t="s">
        <v>217</v>
      </c>
      <c r="C100" s="440">
        <v>100</v>
      </c>
      <c r="D100" s="410">
        <f>D99</f>
        <v>49795</v>
      </c>
      <c r="E100" s="477">
        <f t="shared" si="10"/>
        <v>4979500</v>
      </c>
      <c r="F100" s="441" t="s">
        <v>283</v>
      </c>
    </row>
    <row r="101" spans="1:6" ht="14.1" customHeight="1" x14ac:dyDescent="0.2">
      <c r="A101" s="916" t="s">
        <v>218</v>
      </c>
      <c r="B101" s="921"/>
      <c r="C101" s="442">
        <v>100</v>
      </c>
      <c r="D101" s="407">
        <f>'Development Schedule by Lot'!K5</f>
        <v>51152</v>
      </c>
      <c r="E101" s="478">
        <f t="shared" si="10"/>
        <v>5115200</v>
      </c>
      <c r="F101" s="443" t="s">
        <v>284</v>
      </c>
    </row>
    <row r="102" spans="1:6" ht="14.1" customHeight="1" x14ac:dyDescent="0.2">
      <c r="A102" s="916" t="s">
        <v>219</v>
      </c>
      <c r="B102" s="921"/>
      <c r="C102" s="442">
        <v>100</v>
      </c>
      <c r="D102" s="407">
        <f>'Development Schedule by Lot'!L5</f>
        <v>114063</v>
      </c>
      <c r="E102" s="478">
        <f t="shared" si="10"/>
        <v>11406300</v>
      </c>
      <c r="F102" s="443" t="s">
        <v>284</v>
      </c>
    </row>
    <row r="103" spans="1:6" ht="14.1" customHeight="1" x14ac:dyDescent="0.2">
      <c r="A103" s="916" t="s">
        <v>220</v>
      </c>
      <c r="B103" s="921"/>
      <c r="C103" s="442">
        <v>100</v>
      </c>
      <c r="D103" s="407">
        <f>'Development Schedule by Lot'!M5</f>
        <v>18278</v>
      </c>
      <c r="E103" s="478">
        <f t="shared" si="10"/>
        <v>1827800</v>
      </c>
      <c r="F103" s="444" t="s">
        <v>284</v>
      </c>
    </row>
    <row r="104" spans="1:6" ht="14.1" customHeight="1" x14ac:dyDescent="0.2">
      <c r="A104" s="915" t="s">
        <v>221</v>
      </c>
      <c r="B104" s="922"/>
      <c r="C104" s="440">
        <v>100</v>
      </c>
      <c r="D104" s="410">
        <f>'Development Schedule by Lot'!N5</f>
        <v>21217</v>
      </c>
      <c r="E104" s="477">
        <f t="shared" si="10"/>
        <v>2121700</v>
      </c>
      <c r="F104" s="445" t="s">
        <v>283</v>
      </c>
    </row>
    <row r="105" spans="1:6" ht="14.1" customHeight="1" thickBot="1" x14ac:dyDescent="0.25">
      <c r="A105" s="917" t="s">
        <v>285</v>
      </c>
      <c r="B105" s="909"/>
      <c r="C105" s="909"/>
      <c r="D105" s="909">
        <f>SUM(D93:D104)</f>
        <v>644915</v>
      </c>
      <c r="E105" s="910">
        <f>SUM(E93:E104)</f>
        <v>64491500</v>
      </c>
      <c r="F105" s="911"/>
    </row>
    <row r="106" spans="1:6" ht="14.1" customHeight="1" x14ac:dyDescent="0.2">
      <c r="C106" s="58"/>
      <c r="F106" s="67"/>
    </row>
    <row r="107" spans="1:6" ht="14.1" customHeight="1" x14ac:dyDescent="0.2">
      <c r="C107" s="58"/>
      <c r="F107" s="67"/>
    </row>
    <row r="108" spans="1:6" ht="14.1" customHeight="1" x14ac:dyDescent="0.2">
      <c r="C108" s="58"/>
      <c r="F108" s="67"/>
    </row>
    <row r="109" spans="1:6" ht="14.1" customHeight="1" x14ac:dyDescent="0.2">
      <c r="C109" s="58"/>
      <c r="F109" s="67"/>
    </row>
    <row r="110" spans="1:6" ht="14.1" customHeight="1" x14ac:dyDescent="0.2">
      <c r="C110" s="58"/>
      <c r="F110" s="67"/>
    </row>
    <row r="111" spans="1:6" ht="14.1" customHeight="1" x14ac:dyDescent="0.2">
      <c r="C111" s="58"/>
      <c r="F111" s="67"/>
    </row>
    <row r="112" spans="1:6" ht="14.1" customHeight="1" x14ac:dyDescent="0.2">
      <c r="C112" s="58"/>
      <c r="F112" s="67"/>
    </row>
    <row r="113" spans="1:6" ht="14.1" customHeight="1" x14ac:dyDescent="0.2">
      <c r="C113" s="58"/>
      <c r="F113" s="67"/>
    </row>
    <row r="114" spans="1:6" ht="14.1" customHeight="1" x14ac:dyDescent="0.2">
      <c r="C114" s="58"/>
      <c r="F114" s="67"/>
    </row>
    <row r="115" spans="1:6" ht="14.1" customHeight="1" x14ac:dyDescent="0.2">
      <c r="C115" s="58"/>
      <c r="F115" s="67"/>
    </row>
    <row r="116" spans="1:6" ht="14.1" customHeight="1" x14ac:dyDescent="0.2">
      <c r="C116" s="58"/>
      <c r="F116" s="67"/>
    </row>
    <row r="117" spans="1:6" ht="14.1" customHeight="1" x14ac:dyDescent="0.2">
      <c r="C117" s="58"/>
      <c r="F117" s="67"/>
    </row>
    <row r="118" spans="1:6" ht="14.1" customHeight="1" x14ac:dyDescent="0.2">
      <c r="A118" s="67"/>
      <c r="B118" s="67"/>
      <c r="C118" s="67"/>
      <c r="D118" s="67"/>
      <c r="E118" s="67"/>
      <c r="F118" s="67"/>
    </row>
    <row r="119" spans="1:6" ht="14.1" customHeight="1" x14ac:dyDescent="0.2">
      <c r="A119" s="67"/>
      <c r="B119" s="67"/>
      <c r="C119" s="67"/>
      <c r="D119" s="67"/>
      <c r="E119" s="67"/>
      <c r="F119" s="67"/>
    </row>
    <row r="120" spans="1:6" ht="14.1" customHeight="1" x14ac:dyDescent="0.2">
      <c r="A120" s="67"/>
      <c r="B120" s="67"/>
      <c r="C120" s="67"/>
      <c r="D120" s="67"/>
      <c r="E120" s="67"/>
      <c r="F120" s="67"/>
    </row>
    <row r="121" spans="1:6" ht="14.1" customHeight="1" x14ac:dyDescent="0.2">
      <c r="A121" s="67"/>
      <c r="B121" s="67"/>
      <c r="C121" s="67"/>
      <c r="D121" s="67"/>
      <c r="E121" s="67"/>
      <c r="F121" s="67"/>
    </row>
  </sheetData>
  <mergeCells count="2">
    <mergeCell ref="H70:M70"/>
    <mergeCell ref="A91:F91"/>
  </mergeCells>
  <pageMargins left="0.25" right="0.25" top="0.75" bottom="0.75" header="0.3" footer="0.3"/>
  <pageSetup paperSize="17" scale="70" fitToHeight="0" orientation="portrait" r:id="rId1"/>
  <headerFooter alignWithMargins="0">
    <oddHeader xml:space="preserve">&amp;L&amp;"Arial,Bold"2017 ULI Hines Student Competition&amp;RTeam &amp;A 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zoomScale="70" zoomScaleNormal="70" workbookViewId="0">
      <selection activeCell="Q9" sqref="Q9"/>
    </sheetView>
  </sheetViews>
  <sheetFormatPr defaultColWidth="9.140625" defaultRowHeight="12.75" x14ac:dyDescent="0.2"/>
  <cols>
    <col min="1" max="1" width="16.85546875" style="1" customWidth="1"/>
    <col min="2" max="3" width="16.85546875" style="3" customWidth="1"/>
    <col min="4" max="13" width="16.85546875" style="1" customWidth="1"/>
    <col min="14" max="14" width="17.28515625" style="1" customWidth="1"/>
    <col min="15" max="16384" width="9.140625" style="1"/>
  </cols>
  <sheetData>
    <row r="1" spans="1:14" ht="14.1" customHeight="1" x14ac:dyDescent="0.25">
      <c r="A1" s="332" t="s">
        <v>71</v>
      </c>
      <c r="B1" s="333">
        <v>198923</v>
      </c>
      <c r="C1" s="48"/>
      <c r="D1" s="46"/>
      <c r="E1" s="46"/>
      <c r="F1" s="46"/>
      <c r="G1" s="46"/>
      <c r="H1" s="46"/>
      <c r="I1" s="46"/>
      <c r="J1" s="46"/>
      <c r="K1" s="46"/>
      <c r="L1" s="334" t="s">
        <v>71</v>
      </c>
      <c r="M1" s="335">
        <v>198923</v>
      </c>
    </row>
    <row r="2" spans="1:14" ht="14.1" customHeight="1" thickBot="1" x14ac:dyDescent="0.25">
      <c r="A2" s="46"/>
      <c r="B2" s="48"/>
      <c r="C2" s="48"/>
      <c r="D2" s="46">
        <v>1</v>
      </c>
      <c r="E2" s="46">
        <v>2</v>
      </c>
      <c r="F2" s="46">
        <v>3</v>
      </c>
      <c r="G2" s="46">
        <v>4</v>
      </c>
      <c r="H2" s="46">
        <v>5</v>
      </c>
      <c r="I2" s="46">
        <v>6</v>
      </c>
      <c r="J2" s="46">
        <v>7</v>
      </c>
      <c r="K2" s="46">
        <v>8</v>
      </c>
      <c r="L2" s="336">
        <v>9</v>
      </c>
      <c r="M2" s="337">
        <v>10</v>
      </c>
    </row>
    <row r="3" spans="1:14" ht="14.1" customHeight="1" x14ac:dyDescent="0.2">
      <c r="A3" s="46"/>
      <c r="B3" s="137"/>
      <c r="C3" s="126" t="s">
        <v>100</v>
      </c>
      <c r="D3" s="127" t="s">
        <v>56</v>
      </c>
      <c r="E3" s="128"/>
      <c r="F3" s="127"/>
      <c r="G3" s="127" t="s">
        <v>124</v>
      </c>
      <c r="H3" s="127"/>
      <c r="I3" s="127"/>
      <c r="J3" s="127" t="s">
        <v>125</v>
      </c>
      <c r="K3" s="127"/>
      <c r="L3" s="127"/>
      <c r="M3" s="129"/>
    </row>
    <row r="4" spans="1:14" ht="14.1" customHeight="1" x14ac:dyDescent="0.2">
      <c r="A4" s="44"/>
      <c r="B4" s="147" t="s">
        <v>28</v>
      </c>
      <c r="C4" s="148" t="s">
        <v>118</v>
      </c>
      <c r="D4" s="149">
        <v>2021</v>
      </c>
      <c r="E4" s="106">
        <f>D4+1</f>
        <v>2022</v>
      </c>
      <c r="F4" s="106">
        <f t="shared" ref="F4:M4" si="0">E4+1</f>
        <v>2023</v>
      </c>
      <c r="G4" s="106">
        <f t="shared" si="0"/>
        <v>2024</v>
      </c>
      <c r="H4" s="106">
        <f t="shared" si="0"/>
        <v>2025</v>
      </c>
      <c r="I4" s="106">
        <f t="shared" si="0"/>
        <v>2026</v>
      </c>
      <c r="J4" s="106">
        <f t="shared" si="0"/>
        <v>2027</v>
      </c>
      <c r="K4" s="106">
        <f t="shared" si="0"/>
        <v>2028</v>
      </c>
      <c r="L4" s="106">
        <f t="shared" si="0"/>
        <v>2029</v>
      </c>
      <c r="M4" s="150">
        <f t="shared" si="0"/>
        <v>2030</v>
      </c>
    </row>
    <row r="5" spans="1:14" ht="18" customHeight="1" x14ac:dyDescent="0.2">
      <c r="A5" s="42" t="s">
        <v>16</v>
      </c>
      <c r="B5" s="303"/>
      <c r="C5" s="211"/>
      <c r="D5" s="276"/>
      <c r="E5" s="276"/>
      <c r="F5" s="276"/>
      <c r="G5" s="282"/>
      <c r="H5" s="282"/>
      <c r="I5" s="282"/>
      <c r="J5" s="288"/>
      <c r="K5" s="288"/>
      <c r="L5" s="288"/>
      <c r="M5" s="288"/>
    </row>
    <row r="6" spans="1:14" ht="14.1" customHeight="1" x14ac:dyDescent="0.2">
      <c r="A6" s="25" t="s">
        <v>12</v>
      </c>
      <c r="B6" s="304">
        <v>0.02</v>
      </c>
      <c r="C6" s="294">
        <f>1+B6</f>
        <v>1.02</v>
      </c>
      <c r="D6" s="277">
        <f>C6*(1+$B$6)</f>
        <v>1.0404</v>
      </c>
      <c r="E6" s="277">
        <f t="shared" ref="E6:M6" si="1">D6*(1+$B$6)</f>
        <v>1.0612079999999999</v>
      </c>
      <c r="F6" s="277">
        <f t="shared" si="1"/>
        <v>1.08243216</v>
      </c>
      <c r="G6" s="283">
        <f t="shared" si="1"/>
        <v>1.1040808032</v>
      </c>
      <c r="H6" s="283">
        <f t="shared" si="1"/>
        <v>1.1261624192640001</v>
      </c>
      <c r="I6" s="283">
        <f t="shared" si="1"/>
        <v>1.14868566764928</v>
      </c>
      <c r="J6" s="289">
        <f t="shared" si="1"/>
        <v>1.1716593810022657</v>
      </c>
      <c r="K6" s="289">
        <f t="shared" si="1"/>
        <v>1.1950925686223111</v>
      </c>
      <c r="L6" s="289">
        <f t="shared" si="1"/>
        <v>1.2189944199947573</v>
      </c>
      <c r="M6" s="289">
        <f t="shared" si="1"/>
        <v>1.2433743083946525</v>
      </c>
      <c r="N6" s="51"/>
    </row>
    <row r="7" spans="1:14" ht="14.1" customHeight="1" x14ac:dyDescent="0.2">
      <c r="A7" s="25" t="s">
        <v>116</v>
      </c>
      <c r="B7" s="319"/>
      <c r="C7" s="344">
        <f>'Development Schedule'!D13</f>
        <v>0</v>
      </c>
      <c r="D7" s="360">
        <f>'Development Schedule'!E13</f>
        <v>383506</v>
      </c>
      <c r="E7" s="360">
        <f>'Development Schedule'!F13</f>
        <v>383506</v>
      </c>
      <c r="F7" s="360">
        <f>'Development Schedule'!G13</f>
        <v>0</v>
      </c>
      <c r="G7" s="354">
        <f>'Development Schedule'!H13</f>
        <v>273959.5</v>
      </c>
      <c r="H7" s="354">
        <f>'Development Schedule'!I13</f>
        <v>273959.5</v>
      </c>
      <c r="I7" s="354">
        <f>'Development Schedule'!J13</f>
        <v>0</v>
      </c>
      <c r="J7" s="348">
        <f>'Development Schedule'!K13</f>
        <v>85500</v>
      </c>
      <c r="K7" s="348">
        <f>'Development Schedule'!L13</f>
        <v>85500</v>
      </c>
      <c r="L7" s="348">
        <f>'Development Schedule'!M13</f>
        <v>0</v>
      </c>
      <c r="M7" s="348">
        <f>'Development Schedule'!N13</f>
        <v>0</v>
      </c>
      <c r="N7" s="51"/>
    </row>
    <row r="8" spans="1:14" ht="14.1" customHeight="1" x14ac:dyDescent="0.2">
      <c r="A8" s="25" t="s">
        <v>65</v>
      </c>
      <c r="B8" s="320"/>
      <c r="C8" s="345">
        <f>SUM(C7)</f>
        <v>0</v>
      </c>
      <c r="D8" s="361">
        <f>SUM($C$7:D7)</f>
        <v>383506</v>
      </c>
      <c r="E8" s="361">
        <f>SUM($C$7:E7)</f>
        <v>767012</v>
      </c>
      <c r="F8" s="361">
        <f>SUM($C$7:F7)</f>
        <v>767012</v>
      </c>
      <c r="G8" s="355">
        <f>SUM($C$7:G7)</f>
        <v>1040971.5</v>
      </c>
      <c r="H8" s="355">
        <f>SUM($C$7:H7)</f>
        <v>1314931</v>
      </c>
      <c r="I8" s="355">
        <f>SUM($C$7:I7)</f>
        <v>1314931</v>
      </c>
      <c r="J8" s="349">
        <f>SUM($C$7:J7)</f>
        <v>1400431</v>
      </c>
      <c r="K8" s="349">
        <f>SUM($C$7:K7)</f>
        <v>1485931</v>
      </c>
      <c r="L8" s="349">
        <f>SUM($C$7:L7)</f>
        <v>1485931</v>
      </c>
      <c r="M8" s="349">
        <f>SUM($C$7:M7)</f>
        <v>1485931</v>
      </c>
      <c r="N8" s="51"/>
    </row>
    <row r="9" spans="1:14" ht="14.1" customHeight="1" x14ac:dyDescent="0.2">
      <c r="A9" s="25" t="s">
        <v>59</v>
      </c>
      <c r="B9" s="341">
        <v>0.95</v>
      </c>
      <c r="C9" s="213">
        <v>0</v>
      </c>
      <c r="D9" s="174">
        <f t="shared" ref="D9:M9" si="2">D8*$B$9</f>
        <v>364330.7</v>
      </c>
      <c r="E9" s="174">
        <f t="shared" si="2"/>
        <v>728661.4</v>
      </c>
      <c r="F9" s="174">
        <f t="shared" si="2"/>
        <v>728661.4</v>
      </c>
      <c r="G9" s="200">
        <f t="shared" si="2"/>
        <v>988922.92499999993</v>
      </c>
      <c r="H9" s="200">
        <f t="shared" si="2"/>
        <v>1249184.45</v>
      </c>
      <c r="I9" s="200">
        <f t="shared" si="2"/>
        <v>1249184.45</v>
      </c>
      <c r="J9" s="187">
        <f t="shared" si="2"/>
        <v>1330409.45</v>
      </c>
      <c r="K9" s="187">
        <f t="shared" si="2"/>
        <v>1411634.45</v>
      </c>
      <c r="L9" s="187">
        <f t="shared" si="2"/>
        <v>1411634.45</v>
      </c>
      <c r="M9" s="187">
        <f t="shared" si="2"/>
        <v>1411634.45</v>
      </c>
      <c r="N9" s="25"/>
    </row>
    <row r="10" spans="1:14" ht="14.1" customHeight="1" x14ac:dyDescent="0.2">
      <c r="A10" s="36" t="s">
        <v>117</v>
      </c>
      <c r="B10" s="320"/>
      <c r="C10" s="214"/>
      <c r="D10" s="175"/>
      <c r="E10" s="175"/>
      <c r="F10" s="175"/>
      <c r="G10" s="201"/>
      <c r="H10" s="201"/>
      <c r="I10" s="201"/>
      <c r="J10" s="188"/>
      <c r="K10" s="188"/>
      <c r="L10" s="188"/>
      <c r="M10" s="188"/>
      <c r="N10" s="25"/>
    </row>
    <row r="11" spans="1:14" ht="18" customHeight="1" x14ac:dyDescent="0.2">
      <c r="A11" s="46" t="s">
        <v>145</v>
      </c>
      <c r="B11" s="307">
        <v>71.400000000000006</v>
      </c>
      <c r="C11" s="297">
        <f>$B$11*((1+$B$6)^C2)</f>
        <v>71.400000000000006</v>
      </c>
      <c r="D11" s="176">
        <f>$B$11*((1+$B$6)^D2)</f>
        <v>72.828000000000003</v>
      </c>
      <c r="E11" s="176">
        <f t="shared" ref="E11:M11" si="3">$B$11*((1+$B$6)^E2)</f>
        <v>74.284559999999999</v>
      </c>
      <c r="F11" s="176">
        <f t="shared" si="3"/>
        <v>75.770251200000004</v>
      </c>
      <c r="G11" s="202">
        <f t="shared" si="3"/>
        <v>77.285656224000007</v>
      </c>
      <c r="H11" s="202">
        <f t="shared" si="3"/>
        <v>78.83136934848001</v>
      </c>
      <c r="I11" s="202">
        <f t="shared" si="3"/>
        <v>80.407996735449615</v>
      </c>
      <c r="J11" s="189">
        <f t="shared" si="3"/>
        <v>82.01615667015858</v>
      </c>
      <c r="K11" s="189">
        <f t="shared" si="3"/>
        <v>83.656479803561766</v>
      </c>
      <c r="L11" s="189">
        <f t="shared" si="3"/>
        <v>85.329609399633</v>
      </c>
      <c r="M11" s="189">
        <f t="shared" si="3"/>
        <v>87.036201587625669</v>
      </c>
      <c r="N11" s="25"/>
    </row>
    <row r="12" spans="1:14" ht="14.1" customHeight="1" thickBot="1" x14ac:dyDescent="0.25">
      <c r="A12" s="25" t="s">
        <v>66</v>
      </c>
      <c r="B12" s="308">
        <v>0.1</v>
      </c>
      <c r="C12" s="323">
        <f>B12</f>
        <v>0.1</v>
      </c>
      <c r="D12" s="325">
        <f t="shared" ref="D12:M12" si="4">C12</f>
        <v>0.1</v>
      </c>
      <c r="E12" s="325">
        <f t="shared" si="4"/>
        <v>0.1</v>
      </c>
      <c r="F12" s="325">
        <f t="shared" si="4"/>
        <v>0.1</v>
      </c>
      <c r="G12" s="326">
        <f t="shared" si="4"/>
        <v>0.1</v>
      </c>
      <c r="H12" s="326">
        <f t="shared" si="4"/>
        <v>0.1</v>
      </c>
      <c r="I12" s="326">
        <f t="shared" si="4"/>
        <v>0.1</v>
      </c>
      <c r="J12" s="327">
        <f t="shared" si="4"/>
        <v>0.1</v>
      </c>
      <c r="K12" s="327">
        <f t="shared" si="4"/>
        <v>0.1</v>
      </c>
      <c r="L12" s="327">
        <f t="shared" si="4"/>
        <v>0.1</v>
      </c>
      <c r="M12" s="327">
        <f t="shared" si="4"/>
        <v>0.1</v>
      </c>
      <c r="N12" s="36"/>
    </row>
    <row r="13" spans="1:14" ht="14.1" customHeight="1" x14ac:dyDescent="0.2">
      <c r="A13" s="30"/>
      <c r="B13" s="342"/>
      <c r="C13" s="346"/>
      <c r="D13" s="362"/>
      <c r="E13" s="362"/>
      <c r="F13" s="363"/>
      <c r="G13" s="356"/>
      <c r="H13" s="356"/>
      <c r="I13" s="356"/>
      <c r="J13" s="350"/>
      <c r="K13" s="350"/>
      <c r="L13" s="350"/>
      <c r="M13" s="350"/>
      <c r="N13" s="367"/>
    </row>
    <row r="14" spans="1:14" s="33" customFormat="1" x14ac:dyDescent="0.2">
      <c r="A14" s="42" t="s">
        <v>0</v>
      </c>
      <c r="B14" s="328"/>
      <c r="C14" s="215"/>
      <c r="D14" s="177"/>
      <c r="E14" s="177"/>
      <c r="F14" s="177"/>
      <c r="G14" s="204"/>
      <c r="H14" s="204"/>
      <c r="I14" s="204"/>
      <c r="J14" s="191"/>
      <c r="K14" s="191"/>
      <c r="L14" s="191"/>
      <c r="M14" s="191"/>
      <c r="N14" s="42"/>
    </row>
    <row r="15" spans="1:14" ht="14.1" customHeight="1" x14ac:dyDescent="0.2">
      <c r="A15" s="25" t="s">
        <v>17</v>
      </c>
      <c r="B15" s="307"/>
      <c r="C15" s="223">
        <f>C11*(1-C12)*C9</f>
        <v>0</v>
      </c>
      <c r="D15" s="364">
        <f t="shared" ref="D15:M15" si="5">D11*(1-D12)*D9</f>
        <v>23880128.597640004</v>
      </c>
      <c r="E15" s="364">
        <f t="shared" si="5"/>
        <v>48715462.339185603</v>
      </c>
      <c r="F15" s="364">
        <f t="shared" si="5"/>
        <v>49689771.585969314</v>
      </c>
      <c r="G15" s="357">
        <f t="shared" si="5"/>
        <v>68786601.492224291</v>
      </c>
      <c r="H15" s="357">
        <f t="shared" si="5"/>
        <v>88627428.686095074</v>
      </c>
      <c r="I15" s="357">
        <f t="shared" si="5"/>
        <v>90399977.259816989</v>
      </c>
      <c r="J15" s="351">
        <f t="shared" si="5"/>
        <v>98203562.89799355</v>
      </c>
      <c r="K15" s="351">
        <f t="shared" si="5"/>
        <v>106283131.97079332</v>
      </c>
      <c r="L15" s="351">
        <f t="shared" si="5"/>
        <v>108408794.61020918</v>
      </c>
      <c r="M15" s="351">
        <f t="shared" si="5"/>
        <v>110576970.50241338</v>
      </c>
      <c r="N15" s="25"/>
    </row>
    <row r="16" spans="1:14" ht="18" customHeight="1" x14ac:dyDescent="0.2">
      <c r="A16" s="338" t="s">
        <v>68</v>
      </c>
      <c r="B16" s="311">
        <v>0.28000000000000003</v>
      </c>
      <c r="C16" s="223">
        <f>C15*(-$B$16)</f>
        <v>0</v>
      </c>
      <c r="D16" s="364">
        <f t="shared" ref="D16:M16" si="6">D15*(-$B$16)</f>
        <v>-6686436.0073392019</v>
      </c>
      <c r="E16" s="364">
        <f t="shared" si="6"/>
        <v>-13640329.454971971</v>
      </c>
      <c r="F16" s="364">
        <f t="shared" si="6"/>
        <v>-13913136.04407141</v>
      </c>
      <c r="G16" s="357">
        <f t="shared" si="6"/>
        <v>-19260248.417822804</v>
      </c>
      <c r="H16" s="357">
        <f t="shared" si="6"/>
        <v>-24815680.032106623</v>
      </c>
      <c r="I16" s="357">
        <f t="shared" si="6"/>
        <v>-25311993.63274876</v>
      </c>
      <c r="J16" s="351">
        <f t="shared" si="6"/>
        <v>-27496997.611438196</v>
      </c>
      <c r="K16" s="351">
        <f t="shared" si="6"/>
        <v>-29759276.951822132</v>
      </c>
      <c r="L16" s="351">
        <f t="shared" si="6"/>
        <v>-30354462.490858573</v>
      </c>
      <c r="M16" s="351">
        <f t="shared" si="6"/>
        <v>-30961551.740675747</v>
      </c>
      <c r="N16" s="25"/>
    </row>
    <row r="17" spans="1:14" ht="14.1" customHeight="1" x14ac:dyDescent="0.2">
      <c r="A17" s="49" t="s">
        <v>5</v>
      </c>
      <c r="B17" s="630"/>
      <c r="C17" s="709">
        <f>SUM(C15:C16)</f>
        <v>0</v>
      </c>
      <c r="D17" s="710">
        <f t="shared" ref="D17:M17" si="7">SUM(D15:D16)</f>
        <v>17193692.590300802</v>
      </c>
      <c r="E17" s="710">
        <f t="shared" si="7"/>
        <v>35075132.884213634</v>
      </c>
      <c r="F17" s="710">
        <f t="shared" si="7"/>
        <v>35776635.541897908</v>
      </c>
      <c r="G17" s="711">
        <f t="shared" si="7"/>
        <v>49526353.074401483</v>
      </c>
      <c r="H17" s="711">
        <f t="shared" si="7"/>
        <v>63811748.653988451</v>
      </c>
      <c r="I17" s="711">
        <f t="shared" si="7"/>
        <v>65087983.627068229</v>
      </c>
      <c r="J17" s="712">
        <f t="shared" si="7"/>
        <v>70706565.28655535</v>
      </c>
      <c r="K17" s="712">
        <f t="shared" si="7"/>
        <v>76523855.01897119</v>
      </c>
      <c r="L17" s="712">
        <f t="shared" si="7"/>
        <v>78054332.119350612</v>
      </c>
      <c r="M17" s="712">
        <f t="shared" si="7"/>
        <v>79615418.76173763</v>
      </c>
      <c r="N17" s="49"/>
    </row>
    <row r="18" spans="1:14" ht="14.1" customHeight="1" x14ac:dyDescent="0.2">
      <c r="A18" s="42" t="s">
        <v>2</v>
      </c>
      <c r="B18" s="328"/>
      <c r="C18" s="215"/>
      <c r="D18" s="177"/>
      <c r="E18" s="177"/>
      <c r="F18" s="177"/>
      <c r="G18" s="204"/>
      <c r="H18" s="204"/>
      <c r="I18" s="204"/>
      <c r="J18" s="191"/>
      <c r="K18" s="191"/>
      <c r="L18" s="191"/>
      <c r="M18" s="191"/>
      <c r="N18" s="42"/>
    </row>
    <row r="19" spans="1:14" ht="14.1" customHeight="1" x14ac:dyDescent="0.2">
      <c r="A19" s="25" t="s">
        <v>14</v>
      </c>
      <c r="B19" s="307"/>
      <c r="C19" s="218">
        <f>C21/$N$21</f>
        <v>0</v>
      </c>
      <c r="D19" s="180">
        <f t="shared" ref="D19:M19" si="8">D21/$N$21</f>
        <v>0.24639754153910612</v>
      </c>
      <c r="E19" s="180">
        <f t="shared" si="8"/>
        <v>0.25132549236988821</v>
      </c>
      <c r="F19" s="180">
        <f t="shared" si="8"/>
        <v>0</v>
      </c>
      <c r="G19" s="207">
        <f t="shared" si="8"/>
        <v>0.18678890989573957</v>
      </c>
      <c r="H19" s="207">
        <f t="shared" si="8"/>
        <v>0.19052468809365433</v>
      </c>
      <c r="I19" s="207">
        <f t="shared" si="8"/>
        <v>0</v>
      </c>
      <c r="J19" s="194">
        <f t="shared" si="8"/>
        <v>6.1863053515649379E-2</v>
      </c>
      <c r="K19" s="194">
        <f t="shared" si="8"/>
        <v>6.3100314585962367E-2</v>
      </c>
      <c r="L19" s="194">
        <f t="shared" si="8"/>
        <v>0</v>
      </c>
      <c r="M19" s="194">
        <f t="shared" si="8"/>
        <v>0</v>
      </c>
      <c r="N19" s="25"/>
    </row>
    <row r="20" spans="1:14" ht="14.1" customHeight="1" x14ac:dyDescent="0.2">
      <c r="A20" s="25" t="s">
        <v>144</v>
      </c>
      <c r="B20" s="307">
        <v>200</v>
      </c>
      <c r="C20" s="216">
        <f>B20</f>
        <v>200</v>
      </c>
      <c r="D20" s="365">
        <f t="shared" ref="D20:M20" si="9">$C$20*((1+$B$6)^D2)</f>
        <v>204</v>
      </c>
      <c r="E20" s="365">
        <f t="shared" si="9"/>
        <v>208.07999999999998</v>
      </c>
      <c r="F20" s="365">
        <f t="shared" si="9"/>
        <v>212.24159999999998</v>
      </c>
      <c r="G20" s="358">
        <f t="shared" si="9"/>
        <v>216.48643200000001</v>
      </c>
      <c r="H20" s="358">
        <f t="shared" si="9"/>
        <v>220.81616063999999</v>
      </c>
      <c r="I20" s="358">
        <f t="shared" si="9"/>
        <v>225.23248385280002</v>
      </c>
      <c r="J20" s="352">
        <f t="shared" si="9"/>
        <v>229.73713352985595</v>
      </c>
      <c r="K20" s="352">
        <f t="shared" si="9"/>
        <v>234.33187620045311</v>
      </c>
      <c r="L20" s="352">
        <f t="shared" si="9"/>
        <v>239.01851372446217</v>
      </c>
      <c r="M20" s="352">
        <f t="shared" si="9"/>
        <v>243.79888399895142</v>
      </c>
      <c r="N20" s="25"/>
    </row>
    <row r="21" spans="1:14" ht="18" customHeight="1" x14ac:dyDescent="0.2">
      <c r="A21" s="25" t="s">
        <v>2</v>
      </c>
      <c r="B21" s="307"/>
      <c r="C21" s="223">
        <f>C20*'Development Schedule'!D13</f>
        <v>0</v>
      </c>
      <c r="D21" s="364">
        <f>D20*'Development Schedule'!E13</f>
        <v>78235224</v>
      </c>
      <c r="E21" s="364">
        <f>E20*'Development Schedule'!F13</f>
        <v>79799928.479999989</v>
      </c>
      <c r="F21" s="364">
        <f>F20*'Development Schedule'!G13</f>
        <v>0</v>
      </c>
      <c r="G21" s="357">
        <f>G20*'Development Schedule'!H13</f>
        <v>59308514.667504005</v>
      </c>
      <c r="H21" s="357">
        <f>H20*'Development Schedule'!I13</f>
        <v>60494684.960854076</v>
      </c>
      <c r="I21" s="357">
        <f>I20*'Development Schedule'!J13</f>
        <v>0</v>
      </c>
      <c r="J21" s="351">
        <f>J20*'Development Schedule'!K13</f>
        <v>19642524.916802686</v>
      </c>
      <c r="K21" s="351">
        <f>K20*'Development Schedule'!L13</f>
        <v>20035375.41513874</v>
      </c>
      <c r="L21" s="351">
        <f>L20*'Development Schedule'!M13</f>
        <v>0</v>
      </c>
      <c r="M21" s="351">
        <f>M20*'Development Schedule'!N13</f>
        <v>0</v>
      </c>
      <c r="N21" s="716">
        <f>SUM(C21:M21)</f>
        <v>317516252.44029951</v>
      </c>
    </row>
    <row r="22" spans="1:14" ht="14.1" customHeight="1" x14ac:dyDescent="0.2">
      <c r="A22" s="25" t="s">
        <v>15</v>
      </c>
      <c r="B22" s="307"/>
      <c r="C22" s="223"/>
      <c r="D22" s="713"/>
      <c r="E22" s="713"/>
      <c r="F22" s="713"/>
      <c r="G22" s="714"/>
      <c r="H22" s="714"/>
      <c r="I22" s="714"/>
      <c r="J22" s="715"/>
      <c r="K22" s="715"/>
      <c r="L22" s="715"/>
      <c r="M22" s="715"/>
      <c r="N22" s="25"/>
    </row>
    <row r="23" spans="1:14" ht="14.1" customHeight="1" x14ac:dyDescent="0.2">
      <c r="A23" s="49" t="s">
        <v>3</v>
      </c>
      <c r="B23" s="630"/>
      <c r="C23" s="709">
        <f>C21</f>
        <v>0</v>
      </c>
      <c r="D23" s="710">
        <f t="shared" ref="D23:M23" si="10">D21</f>
        <v>78235224</v>
      </c>
      <c r="E23" s="710">
        <f t="shared" si="10"/>
        <v>79799928.479999989</v>
      </c>
      <c r="F23" s="710">
        <f t="shared" si="10"/>
        <v>0</v>
      </c>
      <c r="G23" s="711">
        <f t="shared" si="10"/>
        <v>59308514.667504005</v>
      </c>
      <c r="H23" s="711">
        <f t="shared" si="10"/>
        <v>60494684.960854076</v>
      </c>
      <c r="I23" s="711">
        <f t="shared" si="10"/>
        <v>0</v>
      </c>
      <c r="J23" s="712">
        <f t="shared" si="10"/>
        <v>19642524.916802686</v>
      </c>
      <c r="K23" s="712">
        <f t="shared" si="10"/>
        <v>20035375.41513874</v>
      </c>
      <c r="L23" s="712">
        <f t="shared" si="10"/>
        <v>0</v>
      </c>
      <c r="M23" s="712">
        <f t="shared" si="10"/>
        <v>0</v>
      </c>
      <c r="N23" s="49"/>
    </row>
    <row r="24" spans="1:14" ht="14.1" customHeight="1" x14ac:dyDescent="0.2">
      <c r="A24" s="42" t="s">
        <v>4</v>
      </c>
      <c r="B24" s="328"/>
      <c r="C24" s="215"/>
      <c r="D24" s="177"/>
      <c r="E24" s="177"/>
      <c r="F24" s="177"/>
      <c r="G24" s="204"/>
      <c r="H24" s="204"/>
      <c r="I24" s="204"/>
      <c r="J24" s="191"/>
      <c r="K24" s="191"/>
      <c r="L24" s="191"/>
      <c r="M24" s="191"/>
      <c r="N24" s="42"/>
    </row>
    <row r="25" spans="1:14" ht="14.1" customHeight="1" x14ac:dyDescent="0.2">
      <c r="A25" s="25" t="s">
        <v>5</v>
      </c>
      <c r="B25" s="307"/>
      <c r="C25" s="220">
        <f>C17</f>
        <v>0</v>
      </c>
      <c r="D25" s="182">
        <f t="shared" ref="D25:M25" si="11">D17</f>
        <v>17193692.590300802</v>
      </c>
      <c r="E25" s="182">
        <f t="shared" si="11"/>
        <v>35075132.884213634</v>
      </c>
      <c r="F25" s="182">
        <f t="shared" si="11"/>
        <v>35776635.541897908</v>
      </c>
      <c r="G25" s="209">
        <f t="shared" si="11"/>
        <v>49526353.074401483</v>
      </c>
      <c r="H25" s="209">
        <f t="shared" si="11"/>
        <v>63811748.653988451</v>
      </c>
      <c r="I25" s="209">
        <f t="shared" si="11"/>
        <v>65087983.627068229</v>
      </c>
      <c r="J25" s="196">
        <f t="shared" si="11"/>
        <v>70706565.28655535</v>
      </c>
      <c r="K25" s="196">
        <f t="shared" si="11"/>
        <v>76523855.01897119</v>
      </c>
      <c r="L25" s="196">
        <f>L17</f>
        <v>78054332.119350612</v>
      </c>
      <c r="M25" s="196">
        <f t="shared" si="11"/>
        <v>79615418.76173763</v>
      </c>
      <c r="N25" s="25"/>
    </row>
    <row r="26" spans="1:14" ht="14.1" customHeight="1" x14ac:dyDescent="0.2">
      <c r="A26" s="25" t="s">
        <v>102</v>
      </c>
      <c r="B26" s="316">
        <v>3.7499999999999999E-2</v>
      </c>
      <c r="C26" s="221">
        <f>C25/$B$26</f>
        <v>0</v>
      </c>
      <c r="D26" s="183"/>
      <c r="E26" s="183"/>
      <c r="F26" s="183"/>
      <c r="G26" s="210"/>
      <c r="H26" s="210"/>
      <c r="I26" s="210"/>
      <c r="J26" s="197"/>
      <c r="K26" s="197"/>
      <c r="L26" s="197"/>
      <c r="M26" s="197">
        <f>M25/$B$26</f>
        <v>2123077833.6463368</v>
      </c>
      <c r="N26" s="159"/>
    </row>
    <row r="27" spans="1:14" ht="18" customHeight="1" x14ac:dyDescent="0.2">
      <c r="A27" s="25" t="s">
        <v>103</v>
      </c>
      <c r="B27" s="317">
        <v>0.03</v>
      </c>
      <c r="C27" s="222">
        <f>C26*(-$B$27)</f>
        <v>0</v>
      </c>
      <c r="D27" s="183">
        <f t="shared" ref="D27:M27" si="12">D26*(-$B$27)</f>
        <v>0</v>
      </c>
      <c r="E27" s="183">
        <f t="shared" si="12"/>
        <v>0</v>
      </c>
      <c r="F27" s="183">
        <f t="shared" si="12"/>
        <v>0</v>
      </c>
      <c r="G27" s="210">
        <f t="shared" si="12"/>
        <v>0</v>
      </c>
      <c r="H27" s="210">
        <f t="shared" si="12"/>
        <v>0</v>
      </c>
      <c r="I27" s="210">
        <f t="shared" si="12"/>
        <v>0</v>
      </c>
      <c r="J27" s="197">
        <f t="shared" si="12"/>
        <v>0</v>
      </c>
      <c r="K27" s="197">
        <f t="shared" si="12"/>
        <v>0</v>
      </c>
      <c r="L27" s="197">
        <f t="shared" si="12"/>
        <v>0</v>
      </c>
      <c r="M27" s="197">
        <f t="shared" si="12"/>
        <v>-63692335.009390101</v>
      </c>
      <c r="N27" s="159"/>
    </row>
    <row r="28" spans="1:14" ht="18" customHeight="1" x14ac:dyDescent="0.2">
      <c r="A28" s="25" t="s">
        <v>3</v>
      </c>
      <c r="B28" s="312"/>
      <c r="C28" s="219">
        <f>C23</f>
        <v>0</v>
      </c>
      <c r="D28" s="280">
        <f>-D23</f>
        <v>-78235224</v>
      </c>
      <c r="E28" s="280">
        <f t="shared" ref="E28:M28" si="13">-E23</f>
        <v>-79799928.479999989</v>
      </c>
      <c r="F28" s="280">
        <f t="shared" si="13"/>
        <v>0</v>
      </c>
      <c r="G28" s="286">
        <f t="shared" si="13"/>
        <v>-59308514.667504005</v>
      </c>
      <c r="H28" s="286">
        <f t="shared" si="13"/>
        <v>-60494684.960854076</v>
      </c>
      <c r="I28" s="286">
        <f t="shared" si="13"/>
        <v>0</v>
      </c>
      <c r="J28" s="292">
        <f t="shared" si="13"/>
        <v>-19642524.916802686</v>
      </c>
      <c r="K28" s="292">
        <f t="shared" si="13"/>
        <v>-20035375.41513874</v>
      </c>
      <c r="L28" s="292">
        <f t="shared" si="13"/>
        <v>0</v>
      </c>
      <c r="M28" s="292">
        <f t="shared" si="13"/>
        <v>0</v>
      </c>
      <c r="N28" s="52"/>
    </row>
    <row r="29" spans="1:14" ht="18" customHeight="1" x14ac:dyDescent="0.2">
      <c r="A29" s="36" t="s">
        <v>6</v>
      </c>
      <c r="B29" s="318"/>
      <c r="C29" s="301">
        <f>SUM(C25:C28)</f>
        <v>0</v>
      </c>
      <c r="D29" s="281">
        <f t="shared" ref="D29:M29" si="14">SUM(D25:D28)</f>
        <v>-61041531.409699202</v>
      </c>
      <c r="E29" s="281">
        <f t="shared" si="14"/>
        <v>-44724795.595786355</v>
      </c>
      <c r="F29" s="281">
        <f t="shared" si="14"/>
        <v>35776635.541897908</v>
      </c>
      <c r="G29" s="287">
        <f t="shared" si="14"/>
        <v>-9782161.5931025222</v>
      </c>
      <c r="H29" s="287">
        <f t="shared" si="14"/>
        <v>3317063.6931343749</v>
      </c>
      <c r="I29" s="287">
        <f t="shared" si="14"/>
        <v>65087983.627068229</v>
      </c>
      <c r="J29" s="293">
        <f t="shared" si="14"/>
        <v>51064040.36975266</v>
      </c>
      <c r="K29" s="293">
        <f t="shared" si="14"/>
        <v>56488479.603832453</v>
      </c>
      <c r="L29" s="293">
        <f t="shared" si="14"/>
        <v>78054332.119350612</v>
      </c>
      <c r="M29" s="293">
        <f t="shared" si="14"/>
        <v>2139000917.3986843</v>
      </c>
      <c r="N29" s="14"/>
    </row>
    <row r="30" spans="1:14" x14ac:dyDescent="0.2">
      <c r="A30" s="43" t="s">
        <v>39</v>
      </c>
      <c r="B30" s="343">
        <v>0.09</v>
      </c>
      <c r="C30" s="223">
        <f>C29+(NPV(B30,D29:M29))</f>
        <v>963775456.39500439</v>
      </c>
      <c r="D30" s="173"/>
      <c r="E30" s="173"/>
      <c r="F30" s="173"/>
      <c r="G30" s="199"/>
      <c r="H30" s="199"/>
      <c r="I30" s="199"/>
      <c r="J30" s="186"/>
      <c r="K30" s="186"/>
      <c r="L30" s="186"/>
      <c r="M30" s="186"/>
      <c r="N30" s="17"/>
    </row>
    <row r="31" spans="1:14" x14ac:dyDescent="0.2">
      <c r="A31" s="50" t="s">
        <v>105</v>
      </c>
      <c r="B31" s="708"/>
      <c r="C31" s="707">
        <f>IRR(D29:M29,0)</f>
        <v>0.49482307374031764</v>
      </c>
      <c r="D31" s="181"/>
      <c r="E31" s="181"/>
      <c r="F31" s="181"/>
      <c r="G31" s="208"/>
      <c r="H31" s="208"/>
      <c r="I31" s="208"/>
      <c r="J31" s="195"/>
      <c r="K31" s="195"/>
      <c r="L31" s="195"/>
      <c r="M31" s="195"/>
      <c r="N31" s="19"/>
    </row>
    <row r="32" spans="1:14" x14ac:dyDescent="0.2">
      <c r="A32" s="50" t="s">
        <v>90</v>
      </c>
      <c r="B32" s="708"/>
      <c r="C32" s="631"/>
      <c r="D32" s="181"/>
      <c r="E32" s="181"/>
      <c r="F32" s="181"/>
      <c r="G32" s="208"/>
      <c r="H32" s="208"/>
      <c r="I32" s="208"/>
      <c r="J32" s="195"/>
      <c r="K32" s="195"/>
      <c r="L32" s="195"/>
      <c r="M32" s="195"/>
      <c r="N32" s="19"/>
    </row>
    <row r="34" spans="2:2" x14ac:dyDescent="0.2">
      <c r="B34" s="54"/>
    </row>
  </sheetData>
  <phoneticPr fontId="2" type="noConversion"/>
  <pageMargins left="0.5" right="0.5" top="1" bottom="0.5" header="0.5" footer="0.5"/>
  <pageSetup orientation="landscape" r:id="rId1"/>
  <headerFooter alignWithMargins="0">
    <oddHeader>&amp;L&amp;"Arial,Bold"6. Income Statement: Office/Commercial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Normal="100" workbookViewId="0">
      <selection activeCell="E34" sqref="E34"/>
    </sheetView>
  </sheetViews>
  <sheetFormatPr defaultColWidth="9.140625" defaultRowHeight="12.75" x14ac:dyDescent="0.2"/>
  <cols>
    <col min="1" max="1" width="23.42578125" style="1" customWidth="1"/>
    <col min="2" max="3" width="14.7109375" style="3" customWidth="1"/>
    <col min="4" max="13" width="14.7109375" style="1" customWidth="1"/>
    <col min="14" max="16384" width="9.140625" style="1"/>
  </cols>
  <sheetData>
    <row r="1" spans="1:13" ht="14.1" customHeight="1" x14ac:dyDescent="0.25">
      <c r="A1" s="332" t="s">
        <v>71</v>
      </c>
      <c r="B1" s="333">
        <v>198923</v>
      </c>
      <c r="C1" s="48"/>
      <c r="D1" s="46"/>
      <c r="E1" s="46"/>
      <c r="F1" s="46"/>
      <c r="G1" s="46"/>
      <c r="H1" s="46"/>
      <c r="I1" s="46"/>
      <c r="J1" s="46"/>
      <c r="K1" s="46"/>
      <c r="L1" s="334" t="s">
        <v>71</v>
      </c>
      <c r="M1" s="335">
        <v>198923</v>
      </c>
    </row>
    <row r="2" spans="1:13" ht="14.1" customHeight="1" thickBot="1" x14ac:dyDescent="0.25">
      <c r="A2" s="46"/>
      <c r="B2" s="48"/>
      <c r="C2" s="48">
        <v>0</v>
      </c>
      <c r="D2" s="46">
        <v>1</v>
      </c>
      <c r="E2" s="46">
        <v>2</v>
      </c>
      <c r="F2" s="48">
        <v>3</v>
      </c>
      <c r="G2" s="46">
        <v>4</v>
      </c>
      <c r="H2" s="46">
        <v>5</v>
      </c>
      <c r="I2" s="48">
        <v>6</v>
      </c>
      <c r="J2" s="46">
        <v>7</v>
      </c>
      <c r="K2" s="46">
        <v>8</v>
      </c>
      <c r="L2" s="48">
        <v>9</v>
      </c>
      <c r="M2" s="46">
        <v>10</v>
      </c>
    </row>
    <row r="3" spans="1:13" ht="14.1" customHeight="1" x14ac:dyDescent="0.2">
      <c r="A3" s="46"/>
      <c r="B3" s="137"/>
      <c r="C3" s="126" t="s">
        <v>100</v>
      </c>
      <c r="D3" s="127" t="s">
        <v>56</v>
      </c>
      <c r="E3" s="128"/>
      <c r="F3" s="127"/>
      <c r="G3" s="127" t="s">
        <v>124</v>
      </c>
      <c r="H3" s="127"/>
      <c r="I3" s="127"/>
      <c r="J3" s="127" t="s">
        <v>125</v>
      </c>
      <c r="K3" s="127"/>
      <c r="L3" s="127"/>
      <c r="M3" s="129"/>
    </row>
    <row r="4" spans="1:13" ht="14.1" customHeight="1" x14ac:dyDescent="0.2">
      <c r="A4" s="44"/>
      <c r="B4" s="147" t="s">
        <v>28</v>
      </c>
      <c r="C4" s="148" t="s">
        <v>118</v>
      </c>
      <c r="D4" s="149">
        <v>2021</v>
      </c>
      <c r="E4" s="106">
        <f>D4+1</f>
        <v>2022</v>
      </c>
      <c r="F4" s="106">
        <f t="shared" ref="F4:M4" si="0">E4+1</f>
        <v>2023</v>
      </c>
      <c r="G4" s="106">
        <f t="shared" si="0"/>
        <v>2024</v>
      </c>
      <c r="H4" s="106">
        <f t="shared" si="0"/>
        <v>2025</v>
      </c>
      <c r="I4" s="106">
        <f t="shared" si="0"/>
        <v>2026</v>
      </c>
      <c r="J4" s="106">
        <f t="shared" si="0"/>
        <v>2027</v>
      </c>
      <c r="K4" s="106">
        <f t="shared" si="0"/>
        <v>2028</v>
      </c>
      <c r="L4" s="106">
        <f t="shared" si="0"/>
        <v>2029</v>
      </c>
      <c r="M4" s="150">
        <f t="shared" si="0"/>
        <v>2030</v>
      </c>
    </row>
    <row r="5" spans="1:13" ht="18" customHeight="1" x14ac:dyDescent="0.2">
      <c r="A5" s="42" t="s">
        <v>16</v>
      </c>
      <c r="B5" s="303"/>
      <c r="C5" s="211"/>
      <c r="D5" s="276"/>
      <c r="E5" s="276"/>
      <c r="F5" s="276"/>
      <c r="G5" s="282"/>
      <c r="H5" s="282"/>
      <c r="I5" s="282"/>
      <c r="J5" s="288"/>
      <c r="K5" s="288"/>
      <c r="L5" s="288"/>
      <c r="M5" s="288"/>
    </row>
    <row r="6" spans="1:13" ht="14.1" customHeight="1" x14ac:dyDescent="0.2">
      <c r="A6" s="25" t="s">
        <v>12</v>
      </c>
      <c r="B6" s="304">
        <v>0.02</v>
      </c>
      <c r="C6" s="294">
        <f>1+B6</f>
        <v>1.02</v>
      </c>
      <c r="D6" s="277">
        <f>C6*(1+$B$6)</f>
        <v>1.0404</v>
      </c>
      <c r="E6" s="277">
        <f t="shared" ref="E6:M6" si="1">D6*(1+$B$6)</f>
        <v>1.0612079999999999</v>
      </c>
      <c r="F6" s="277">
        <f t="shared" si="1"/>
        <v>1.08243216</v>
      </c>
      <c r="G6" s="283">
        <f t="shared" si="1"/>
        <v>1.1040808032</v>
      </c>
      <c r="H6" s="283">
        <f t="shared" si="1"/>
        <v>1.1261624192640001</v>
      </c>
      <c r="I6" s="283">
        <f t="shared" si="1"/>
        <v>1.14868566764928</v>
      </c>
      <c r="J6" s="289">
        <f t="shared" si="1"/>
        <v>1.1716593810022657</v>
      </c>
      <c r="K6" s="289">
        <f t="shared" si="1"/>
        <v>1.1950925686223111</v>
      </c>
      <c r="L6" s="289">
        <f t="shared" si="1"/>
        <v>1.2189944199947573</v>
      </c>
      <c r="M6" s="289">
        <f t="shared" si="1"/>
        <v>1.2433743083946525</v>
      </c>
    </row>
    <row r="7" spans="1:13" ht="14.1" customHeight="1" x14ac:dyDescent="0.2">
      <c r="A7" s="1" t="s">
        <v>116</v>
      </c>
      <c r="B7" s="328" t="s">
        <v>45</v>
      </c>
      <c r="C7" s="378">
        <f>'Development Schedule'!D31</f>
        <v>0</v>
      </c>
      <c r="D7" s="382">
        <f>'Development Schedule'!E31</f>
        <v>33499.899999999994</v>
      </c>
      <c r="E7" s="382">
        <f>'Development Schedule'!F31</f>
        <v>33499.899999999994</v>
      </c>
      <c r="F7" s="382">
        <f>'Development Schedule'!G31</f>
        <v>0</v>
      </c>
      <c r="G7" s="387">
        <f>'Development Schedule'!H31</f>
        <v>30497.599999999999</v>
      </c>
      <c r="H7" s="387">
        <f>'Development Schedule'!I31</f>
        <v>30497.599999999999</v>
      </c>
      <c r="I7" s="387">
        <f>'Development Schedule'!J31</f>
        <v>0</v>
      </c>
      <c r="J7" s="373">
        <f>'Development Schedule'!K31</f>
        <v>25384.799999999996</v>
      </c>
      <c r="K7" s="373">
        <f>'Development Schedule'!L31</f>
        <v>25384.799999999996</v>
      </c>
      <c r="L7" s="373">
        <f>'Development Schedule'!M31</f>
        <v>0</v>
      </c>
      <c r="M7" s="373">
        <f>'Development Schedule'!N31</f>
        <v>0</v>
      </c>
    </row>
    <row r="8" spans="1:13" ht="14.1" customHeight="1" x14ac:dyDescent="0.2">
      <c r="A8" s="25" t="s">
        <v>65</v>
      </c>
      <c r="B8" s="328"/>
      <c r="C8" s="379">
        <f>SUM(C7)</f>
        <v>0</v>
      </c>
      <c r="D8" s="383">
        <f>SUM($C$7:D7)</f>
        <v>33499.899999999994</v>
      </c>
      <c r="E8" s="383">
        <f>SUM($C$7:E7)</f>
        <v>66999.799999999988</v>
      </c>
      <c r="F8" s="383">
        <f>SUM($C$7:F7)</f>
        <v>66999.799999999988</v>
      </c>
      <c r="G8" s="388">
        <f>SUM($C$7:G7)</f>
        <v>97497.4</v>
      </c>
      <c r="H8" s="388">
        <f>SUM($C$7:H7)</f>
        <v>127995</v>
      </c>
      <c r="I8" s="388">
        <f>SUM($C$7:I7)</f>
        <v>127995</v>
      </c>
      <c r="J8" s="374">
        <f>SUM($C$7:J7)</f>
        <v>153379.79999999999</v>
      </c>
      <c r="K8" s="374">
        <f>SUM($C$7:K7)</f>
        <v>178764.59999999998</v>
      </c>
      <c r="L8" s="374">
        <f>SUM($C$7:L7)</f>
        <v>178764.59999999998</v>
      </c>
      <c r="M8" s="374">
        <f>SUM($C$7:M7)</f>
        <v>178764.59999999998</v>
      </c>
    </row>
    <row r="9" spans="1:13" ht="14.1" customHeight="1" x14ac:dyDescent="0.2">
      <c r="A9" s="25" t="s">
        <v>59</v>
      </c>
      <c r="B9" s="304">
        <v>0.9</v>
      </c>
      <c r="C9" s="366">
        <f>C8*$B$9</f>
        <v>0</v>
      </c>
      <c r="D9" s="359">
        <f t="shared" ref="D9:M9" si="2">D8*$B$9</f>
        <v>30149.909999999996</v>
      </c>
      <c r="E9" s="359">
        <f t="shared" si="2"/>
        <v>60299.819999999992</v>
      </c>
      <c r="F9" s="359">
        <f t="shared" si="2"/>
        <v>60299.819999999992</v>
      </c>
      <c r="G9" s="353">
        <f t="shared" si="2"/>
        <v>87747.66</v>
      </c>
      <c r="H9" s="353">
        <f t="shared" si="2"/>
        <v>115195.5</v>
      </c>
      <c r="I9" s="353">
        <f t="shared" si="2"/>
        <v>115195.5</v>
      </c>
      <c r="J9" s="347">
        <f t="shared" si="2"/>
        <v>138041.82</v>
      </c>
      <c r="K9" s="347">
        <f t="shared" si="2"/>
        <v>160888.13999999998</v>
      </c>
      <c r="L9" s="347">
        <f t="shared" si="2"/>
        <v>160888.13999999998</v>
      </c>
      <c r="M9" s="347">
        <f t="shared" si="2"/>
        <v>160888.13999999998</v>
      </c>
    </row>
    <row r="10" spans="1:13" ht="14.1" customHeight="1" x14ac:dyDescent="0.2">
      <c r="A10" s="25" t="s">
        <v>66</v>
      </c>
      <c r="B10" s="304">
        <v>0.1</v>
      </c>
      <c r="C10" s="218">
        <f>B10</f>
        <v>0.1</v>
      </c>
      <c r="D10" s="180">
        <f t="shared" ref="D10:M10" si="3">C10</f>
        <v>0.1</v>
      </c>
      <c r="E10" s="180">
        <f t="shared" si="3"/>
        <v>0.1</v>
      </c>
      <c r="F10" s="180">
        <f t="shared" si="3"/>
        <v>0.1</v>
      </c>
      <c r="G10" s="207">
        <f t="shared" si="3"/>
        <v>0.1</v>
      </c>
      <c r="H10" s="207">
        <f t="shared" si="3"/>
        <v>0.1</v>
      </c>
      <c r="I10" s="207">
        <f t="shared" si="3"/>
        <v>0.1</v>
      </c>
      <c r="J10" s="194">
        <f t="shared" si="3"/>
        <v>0.1</v>
      </c>
      <c r="K10" s="194">
        <f t="shared" si="3"/>
        <v>0.1</v>
      </c>
      <c r="L10" s="194">
        <f t="shared" si="3"/>
        <v>0.1</v>
      </c>
      <c r="M10" s="194">
        <f t="shared" si="3"/>
        <v>0.1</v>
      </c>
    </row>
    <row r="11" spans="1:13" ht="14.1" customHeight="1" x14ac:dyDescent="0.2">
      <c r="A11" s="36" t="s">
        <v>67</v>
      </c>
      <c r="B11" s="368">
        <f>19.63</f>
        <v>19.63</v>
      </c>
      <c r="C11" s="380">
        <f t="shared" ref="C11:M11" si="4">B11*(1+$B$6)^D2</f>
        <v>20.022600000000001</v>
      </c>
      <c r="D11" s="384">
        <f t="shared" si="4"/>
        <v>20.831513040000001</v>
      </c>
      <c r="E11" s="384">
        <f t="shared" si="4"/>
        <v>22.106568290152321</v>
      </c>
      <c r="F11" s="384">
        <f t="shared" si="4"/>
        <v>23.928860464497085</v>
      </c>
      <c r="G11" s="389">
        <f t="shared" si="4"/>
        <v>26.419395481302665</v>
      </c>
      <c r="H11" s="389">
        <f t="shared" si="4"/>
        <v>29.752530330716201</v>
      </c>
      <c r="I11" s="389">
        <f t="shared" si="4"/>
        <v>34.176305167194187</v>
      </c>
      <c r="J11" s="375">
        <f t="shared" si="4"/>
        <v>40.042988557139267</v>
      </c>
      <c r="K11" s="375">
        <f t="shared" si="4"/>
        <v>47.855078050065366</v>
      </c>
      <c r="L11" s="375">
        <f t="shared" si="4"/>
        <v>58.335073111443265</v>
      </c>
      <c r="M11" s="375">
        <f t="shared" si="4"/>
        <v>58.335073111443265</v>
      </c>
    </row>
    <row r="12" spans="1:13" ht="18" customHeight="1" x14ac:dyDescent="0.2">
      <c r="A12" s="42" t="s">
        <v>0</v>
      </c>
      <c r="B12" s="328"/>
      <c r="C12" s="215"/>
      <c r="D12" s="177"/>
      <c r="E12" s="177"/>
      <c r="F12" s="177"/>
      <c r="G12" s="204"/>
      <c r="H12" s="204"/>
      <c r="I12" s="204"/>
      <c r="J12" s="191"/>
      <c r="K12" s="191"/>
      <c r="L12" s="191"/>
      <c r="M12" s="191"/>
    </row>
    <row r="13" spans="1:13" ht="14.1" customHeight="1" x14ac:dyDescent="0.2">
      <c r="A13" s="25" t="s">
        <v>17</v>
      </c>
      <c r="B13" s="307"/>
      <c r="C13" s="212">
        <f>C11*C9*(1-C10)</f>
        <v>0</v>
      </c>
      <c r="D13" s="385">
        <f t="shared" ref="D13:M13" si="5">D11*D9*(1-D10)</f>
        <v>565261.41898784367</v>
      </c>
      <c r="E13" s="385">
        <f t="shared" si="5"/>
        <v>1199719.8798425032</v>
      </c>
      <c r="F13" s="385">
        <f t="shared" si="5"/>
        <v>1298615.3809328615</v>
      </c>
      <c r="G13" s="390">
        <f t="shared" si="5"/>
        <v>2086416.1188889947</v>
      </c>
      <c r="H13" s="390">
        <f t="shared" si="5"/>
        <v>3084621.8469408164</v>
      </c>
      <c r="I13" s="390">
        <f t="shared" si="5"/>
        <v>3543260.9056987665</v>
      </c>
      <c r="J13" s="377">
        <f t="shared" si="5"/>
        <v>4974846.3168000113</v>
      </c>
      <c r="K13" s="377">
        <f t="shared" si="5"/>
        <v>6929383.0473268591</v>
      </c>
      <c r="L13" s="377">
        <f t="shared" si="5"/>
        <v>8446879.268697707</v>
      </c>
      <c r="M13" s="377">
        <f t="shared" si="5"/>
        <v>8446879.268697707</v>
      </c>
    </row>
    <row r="14" spans="1:13" s="33" customFormat="1" ht="25.5" x14ac:dyDescent="0.2">
      <c r="A14" s="47" t="s">
        <v>104</v>
      </c>
      <c r="B14" s="369">
        <v>0.28000000000000003</v>
      </c>
      <c r="C14" s="729">
        <f>C13*$B$14</f>
        <v>0</v>
      </c>
      <c r="D14" s="730">
        <f t="shared" ref="D14:M14" si="6">D13*$B$14</f>
        <v>158273.19731659626</v>
      </c>
      <c r="E14" s="730">
        <f t="shared" si="6"/>
        <v>335921.56635590096</v>
      </c>
      <c r="F14" s="730">
        <f t="shared" si="6"/>
        <v>363612.30666120123</v>
      </c>
      <c r="G14" s="731">
        <f t="shared" si="6"/>
        <v>584196.51328891853</v>
      </c>
      <c r="H14" s="731">
        <f t="shared" si="6"/>
        <v>863694.11714342865</v>
      </c>
      <c r="I14" s="731">
        <f t="shared" si="6"/>
        <v>992113.05359565467</v>
      </c>
      <c r="J14" s="732">
        <f t="shared" si="6"/>
        <v>1392956.9687040034</v>
      </c>
      <c r="K14" s="732">
        <f t="shared" si="6"/>
        <v>1940227.2532515207</v>
      </c>
      <c r="L14" s="732">
        <f t="shared" si="6"/>
        <v>2365126.1952353581</v>
      </c>
      <c r="M14" s="732">
        <f t="shared" si="6"/>
        <v>2365126.1952353581</v>
      </c>
    </row>
    <row r="15" spans="1:13" ht="14.1" customHeight="1" x14ac:dyDescent="0.2">
      <c r="A15" s="49" t="s">
        <v>5</v>
      </c>
      <c r="B15" s="630"/>
      <c r="C15" s="720">
        <f>C13-C14</f>
        <v>0</v>
      </c>
      <c r="D15" s="632">
        <f t="shared" ref="D15:H15" si="7">D13-D14</f>
        <v>406988.22167124739</v>
      </c>
      <c r="E15" s="632">
        <f t="shared" si="7"/>
        <v>863798.31348660227</v>
      </c>
      <c r="F15" s="632">
        <f t="shared" si="7"/>
        <v>935003.0742716603</v>
      </c>
      <c r="G15" s="633">
        <f t="shared" si="7"/>
        <v>1502219.6056000763</v>
      </c>
      <c r="H15" s="633">
        <f t="shared" si="7"/>
        <v>2220927.7297973875</v>
      </c>
      <c r="I15" s="633">
        <f>I13-I14</f>
        <v>2551147.8521031118</v>
      </c>
      <c r="J15" s="634">
        <f t="shared" ref="J15" si="8">J13-J14</f>
        <v>3581889.3480960079</v>
      </c>
      <c r="K15" s="634">
        <f t="shared" ref="K15" si="9">K13-K14</f>
        <v>4989155.7940753382</v>
      </c>
      <c r="L15" s="634">
        <f t="shared" ref="L15" si="10">L13-L14</f>
        <v>6081753.0734623484</v>
      </c>
      <c r="M15" s="634">
        <f t="shared" ref="M15" si="11">M13-M14</f>
        <v>6081753.0734623484</v>
      </c>
    </row>
    <row r="16" spans="1:13" ht="18" customHeight="1" x14ac:dyDescent="0.2">
      <c r="A16" s="42" t="s">
        <v>2</v>
      </c>
      <c r="B16" s="328"/>
      <c r="C16" s="215"/>
      <c r="D16" s="177"/>
      <c r="E16" s="177"/>
      <c r="F16" s="177"/>
      <c r="G16" s="204"/>
      <c r="H16" s="204"/>
      <c r="I16" s="204"/>
      <c r="J16" s="191"/>
      <c r="K16" s="191"/>
      <c r="L16" s="191"/>
      <c r="M16" s="191"/>
    </row>
    <row r="17" spans="1:14" ht="18" customHeight="1" x14ac:dyDescent="0.2">
      <c r="A17" s="43" t="s">
        <v>183</v>
      </c>
      <c r="B17" s="328">
        <v>100</v>
      </c>
      <c r="C17" s="215">
        <f>$B$17*(1+$B$6)^C2</f>
        <v>100</v>
      </c>
      <c r="D17" s="386">
        <f t="shared" ref="D17:M17" si="12">$B$17*(1+$B$6)^D2</f>
        <v>102</v>
      </c>
      <c r="E17" s="386">
        <f t="shared" si="12"/>
        <v>104.03999999999999</v>
      </c>
      <c r="F17" s="386">
        <f t="shared" si="12"/>
        <v>106.12079999999999</v>
      </c>
      <c r="G17" s="391">
        <f t="shared" si="12"/>
        <v>108.243216</v>
      </c>
      <c r="H17" s="391">
        <f t="shared" si="12"/>
        <v>110.40808032</v>
      </c>
      <c r="I17" s="391">
        <f t="shared" si="12"/>
        <v>112.61624192640001</v>
      </c>
      <c r="J17" s="376">
        <f t="shared" si="12"/>
        <v>114.86856676492798</v>
      </c>
      <c r="K17" s="376">
        <f t="shared" si="12"/>
        <v>117.16593810022655</v>
      </c>
      <c r="L17" s="376">
        <f t="shared" si="12"/>
        <v>119.50925686223108</v>
      </c>
      <c r="M17" s="376">
        <f t="shared" si="12"/>
        <v>121.89944199947571</v>
      </c>
    </row>
    <row r="18" spans="1:14" ht="14.1" customHeight="1" x14ac:dyDescent="0.2">
      <c r="A18" s="25" t="s">
        <v>14</v>
      </c>
      <c r="B18" s="307"/>
      <c r="C18" s="218">
        <f>C19/$N$19</f>
        <v>0</v>
      </c>
      <c r="D18" s="180">
        <f t="shared" ref="D18:M18" si="13">D19/$N$19</f>
        <v>0.17558313521222907</v>
      </c>
      <c r="E18" s="180">
        <f t="shared" si="13"/>
        <v>0.17909479791647362</v>
      </c>
      <c r="F18" s="180">
        <f t="shared" si="13"/>
        <v>0</v>
      </c>
      <c r="G18" s="207">
        <f t="shared" si="13"/>
        <v>0.16963109603009321</v>
      </c>
      <c r="H18" s="207">
        <f t="shared" si="13"/>
        <v>0.1730237179506951</v>
      </c>
      <c r="I18" s="207">
        <f t="shared" si="13"/>
        <v>0</v>
      </c>
      <c r="J18" s="194">
        <f t="shared" si="13"/>
        <v>0.14983527370817276</v>
      </c>
      <c r="K18" s="194">
        <f t="shared" si="13"/>
        <v>0.15283197918233624</v>
      </c>
      <c r="L18" s="194">
        <f t="shared" si="13"/>
        <v>0</v>
      </c>
      <c r="M18" s="194">
        <f t="shared" si="13"/>
        <v>0</v>
      </c>
    </row>
    <row r="19" spans="1:14" ht="14.1" customHeight="1" x14ac:dyDescent="0.2">
      <c r="A19" s="25" t="s">
        <v>2</v>
      </c>
      <c r="B19" s="307">
        <v>100</v>
      </c>
      <c r="C19" s="216">
        <f>C17*C7</f>
        <v>0</v>
      </c>
      <c r="D19" s="364">
        <f t="shared" ref="D19:M19" si="14">D17*D7</f>
        <v>3416989.7999999993</v>
      </c>
      <c r="E19" s="364">
        <f t="shared" si="14"/>
        <v>3485329.595999999</v>
      </c>
      <c r="F19" s="364">
        <f t="shared" si="14"/>
        <v>0</v>
      </c>
      <c r="G19" s="357">
        <f t="shared" si="14"/>
        <v>3301158.3042815998</v>
      </c>
      <c r="H19" s="357">
        <f t="shared" si="14"/>
        <v>3367181.4703672319</v>
      </c>
      <c r="I19" s="357">
        <f t="shared" si="14"/>
        <v>0</v>
      </c>
      <c r="J19" s="351">
        <f t="shared" si="14"/>
        <v>2915915.5936143431</v>
      </c>
      <c r="K19" s="351">
        <f t="shared" si="14"/>
        <v>2974233.9054866307</v>
      </c>
      <c r="L19" s="351">
        <f t="shared" si="14"/>
        <v>0</v>
      </c>
      <c r="M19" s="351">
        <f t="shared" si="14"/>
        <v>0</v>
      </c>
      <c r="N19" s="1">
        <f>SUM(C19:M19)</f>
        <v>19460808.669749804</v>
      </c>
    </row>
    <row r="20" spans="1:14" ht="14.1" customHeight="1" x14ac:dyDescent="0.2">
      <c r="A20" s="25" t="s">
        <v>15</v>
      </c>
      <c r="B20" s="307"/>
      <c r="C20" s="216"/>
      <c r="D20" s="713"/>
      <c r="E20" s="713"/>
      <c r="F20" s="713"/>
      <c r="G20" s="714"/>
      <c r="H20" s="714"/>
      <c r="I20" s="714"/>
      <c r="J20" s="715"/>
      <c r="K20" s="715"/>
      <c r="L20" s="715"/>
      <c r="M20" s="715"/>
    </row>
    <row r="21" spans="1:14" ht="14.1" customHeight="1" x14ac:dyDescent="0.2">
      <c r="A21" s="49" t="s">
        <v>3</v>
      </c>
      <c r="B21" s="630"/>
      <c r="C21" s="697">
        <f>SUM(C19:C20)</f>
        <v>0</v>
      </c>
      <c r="D21" s="710">
        <f t="shared" ref="D21:M21" si="15">SUM(D19:D20)</f>
        <v>3416989.7999999993</v>
      </c>
      <c r="E21" s="710">
        <f t="shared" si="15"/>
        <v>3485329.595999999</v>
      </c>
      <c r="F21" s="710">
        <f t="shared" si="15"/>
        <v>0</v>
      </c>
      <c r="G21" s="711">
        <f t="shared" si="15"/>
        <v>3301158.3042815998</v>
      </c>
      <c r="H21" s="711">
        <f t="shared" si="15"/>
        <v>3367181.4703672319</v>
      </c>
      <c r="I21" s="711">
        <f t="shared" si="15"/>
        <v>0</v>
      </c>
      <c r="J21" s="712">
        <f t="shared" si="15"/>
        <v>2915915.5936143431</v>
      </c>
      <c r="K21" s="712">
        <f t="shared" si="15"/>
        <v>2974233.9054866307</v>
      </c>
      <c r="L21" s="712">
        <f t="shared" si="15"/>
        <v>0</v>
      </c>
      <c r="M21" s="712">
        <f t="shared" si="15"/>
        <v>0</v>
      </c>
    </row>
    <row r="22" spans="1:14" ht="18" customHeight="1" x14ac:dyDescent="0.2">
      <c r="A22" s="42" t="s">
        <v>4</v>
      </c>
      <c r="B22" s="328"/>
      <c r="C22" s="215"/>
      <c r="D22" s="177"/>
      <c r="E22" s="177"/>
      <c r="F22" s="177"/>
      <c r="G22" s="204"/>
      <c r="H22" s="204"/>
      <c r="I22" s="204"/>
      <c r="J22" s="191"/>
      <c r="K22" s="191"/>
      <c r="L22" s="191"/>
      <c r="M22" s="191"/>
    </row>
    <row r="23" spans="1:14" ht="14.1" customHeight="1" x14ac:dyDescent="0.2">
      <c r="A23" s="25" t="s">
        <v>5</v>
      </c>
      <c r="B23" s="370"/>
      <c r="C23" s="381"/>
      <c r="D23" s="718">
        <f>D15</f>
        <v>406988.22167124739</v>
      </c>
      <c r="E23" s="718">
        <f t="shared" ref="E23:M23" si="16">E15</f>
        <v>863798.31348660227</v>
      </c>
      <c r="F23" s="718">
        <f t="shared" si="16"/>
        <v>935003.0742716603</v>
      </c>
      <c r="G23" s="719">
        <f t="shared" si="16"/>
        <v>1502219.6056000763</v>
      </c>
      <c r="H23" s="719">
        <f t="shared" si="16"/>
        <v>2220927.7297973875</v>
      </c>
      <c r="I23" s="719">
        <f t="shared" si="16"/>
        <v>2551147.8521031118</v>
      </c>
      <c r="J23" s="694">
        <f t="shared" si="16"/>
        <v>3581889.3480960079</v>
      </c>
      <c r="K23" s="694">
        <f t="shared" si="16"/>
        <v>4989155.7940753382</v>
      </c>
      <c r="L23" s="694">
        <f t="shared" si="16"/>
        <v>6081753.0734623484</v>
      </c>
      <c r="M23" s="694">
        <f t="shared" si="16"/>
        <v>6081753.0734623484</v>
      </c>
    </row>
    <row r="24" spans="1:14" ht="14.1" customHeight="1" x14ac:dyDescent="0.2">
      <c r="A24" s="25" t="s">
        <v>102</v>
      </c>
      <c r="B24" s="317">
        <v>0.05</v>
      </c>
      <c r="C24" s="381"/>
      <c r="D24" s="718"/>
      <c r="E24" s="718"/>
      <c r="F24" s="718"/>
      <c r="G24" s="719"/>
      <c r="H24" s="719"/>
      <c r="I24" s="719"/>
      <c r="J24" s="694"/>
      <c r="K24" s="694"/>
      <c r="L24" s="694"/>
      <c r="M24" s="694">
        <f>M23/B24</f>
        <v>121635061.46924697</v>
      </c>
    </row>
    <row r="25" spans="1:14" ht="14.1" customHeight="1" x14ac:dyDescent="0.2">
      <c r="A25" s="25" t="s">
        <v>3</v>
      </c>
      <c r="B25" s="304">
        <v>0.03</v>
      </c>
      <c r="C25" s="220">
        <f>-C21</f>
        <v>0</v>
      </c>
      <c r="D25" s="182">
        <f t="shared" ref="D25:M25" si="17">-D21</f>
        <v>-3416989.7999999993</v>
      </c>
      <c r="E25" s="182">
        <f t="shared" si="17"/>
        <v>-3485329.595999999</v>
      </c>
      <c r="F25" s="182">
        <f t="shared" si="17"/>
        <v>0</v>
      </c>
      <c r="G25" s="209">
        <f t="shared" si="17"/>
        <v>-3301158.3042815998</v>
      </c>
      <c r="H25" s="209">
        <f t="shared" si="17"/>
        <v>-3367181.4703672319</v>
      </c>
      <c r="I25" s="209">
        <f t="shared" si="17"/>
        <v>0</v>
      </c>
      <c r="J25" s="196">
        <f t="shared" si="17"/>
        <v>-2915915.5936143431</v>
      </c>
      <c r="K25" s="196">
        <f t="shared" si="17"/>
        <v>-2974233.9054866307</v>
      </c>
      <c r="L25" s="196">
        <f t="shared" si="17"/>
        <v>0</v>
      </c>
      <c r="M25" s="196">
        <f t="shared" si="17"/>
        <v>0</v>
      </c>
    </row>
    <row r="26" spans="1:14" ht="14.1" customHeight="1" x14ac:dyDescent="0.2">
      <c r="A26" s="36" t="s">
        <v>6</v>
      </c>
      <c r="B26" s="371"/>
      <c r="C26" s="300">
        <f>SUM(C23:C25)</f>
        <v>0</v>
      </c>
      <c r="D26" s="280">
        <f t="shared" ref="D26:M26" si="18">SUM(D23:D25)</f>
        <v>-3010001.578328752</v>
      </c>
      <c r="E26" s="280">
        <f t="shared" si="18"/>
        <v>-2621531.2825133968</v>
      </c>
      <c r="F26" s="280">
        <f t="shared" si="18"/>
        <v>935003.0742716603</v>
      </c>
      <c r="G26" s="286">
        <f t="shared" si="18"/>
        <v>-1798938.6986815236</v>
      </c>
      <c r="H26" s="286">
        <f t="shared" si="18"/>
        <v>-1146253.7405698444</v>
      </c>
      <c r="I26" s="286">
        <f t="shared" si="18"/>
        <v>2551147.8521031118</v>
      </c>
      <c r="J26" s="292">
        <f t="shared" si="18"/>
        <v>665973.75448166486</v>
      </c>
      <c r="K26" s="292">
        <f t="shared" si="18"/>
        <v>2014921.8885887074</v>
      </c>
      <c r="L26" s="292">
        <f t="shared" si="18"/>
        <v>6081753.0734623484</v>
      </c>
      <c r="M26" s="292">
        <f t="shared" si="18"/>
        <v>127716814.54270932</v>
      </c>
    </row>
    <row r="27" spans="1:14" ht="18" customHeight="1" x14ac:dyDescent="0.2">
      <c r="A27" s="42" t="s">
        <v>39</v>
      </c>
      <c r="B27" s="372">
        <v>0.09</v>
      </c>
      <c r="C27" s="733">
        <f>NPV(B27,D26:M26)</f>
        <v>53380503.008149989</v>
      </c>
      <c r="D27" s="177"/>
      <c r="E27" s="177"/>
      <c r="F27" s="177"/>
      <c r="G27" s="204"/>
      <c r="H27" s="204"/>
      <c r="I27" s="204"/>
      <c r="J27" s="191"/>
      <c r="K27" s="191"/>
      <c r="L27" s="191"/>
      <c r="M27" s="191"/>
    </row>
    <row r="28" spans="1:14" ht="18" customHeight="1" x14ac:dyDescent="0.2">
      <c r="A28" s="50" t="s">
        <v>105</v>
      </c>
      <c r="B28" s="630"/>
      <c r="C28" s="707">
        <f>IRR(D26:M26,0)</f>
        <v>0.45748823806995143</v>
      </c>
      <c r="D28" s="181"/>
      <c r="E28" s="181"/>
      <c r="F28" s="181"/>
      <c r="G28" s="208"/>
      <c r="H28" s="208"/>
      <c r="I28" s="208"/>
      <c r="J28" s="195"/>
      <c r="K28" s="195"/>
      <c r="L28" s="195"/>
      <c r="M28" s="195"/>
    </row>
    <row r="29" spans="1:14" ht="18" customHeight="1" x14ac:dyDescent="0.2">
      <c r="A29" s="50" t="s">
        <v>90</v>
      </c>
      <c r="B29" s="630"/>
      <c r="C29" s="631"/>
      <c r="D29" s="181"/>
      <c r="E29" s="181"/>
      <c r="F29" s="181"/>
      <c r="G29" s="208"/>
      <c r="H29" s="208"/>
      <c r="I29" s="208"/>
      <c r="J29" s="195"/>
      <c r="K29" s="195"/>
      <c r="L29" s="195"/>
      <c r="M29" s="195"/>
    </row>
    <row r="32" spans="1:14" x14ac:dyDescent="0.2">
      <c r="B32" s="70"/>
    </row>
  </sheetData>
  <phoneticPr fontId="2" type="noConversion"/>
  <pageMargins left="0.5" right="0.5" top="1" bottom="0.5" header="0.5" footer="0.5"/>
  <pageSetup orientation="landscape" r:id="rId1"/>
  <headerFooter alignWithMargins="0">
    <oddHeader>&amp;L&amp;"Arial,Bold"7. Income Statement: Retail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Normal="100" workbookViewId="0">
      <selection activeCell="I35" sqref="I35"/>
    </sheetView>
  </sheetViews>
  <sheetFormatPr defaultColWidth="9.140625" defaultRowHeight="12.75" x14ac:dyDescent="0.2"/>
  <cols>
    <col min="1" max="1" width="23.140625" style="1" customWidth="1"/>
    <col min="2" max="3" width="14.7109375" style="3" customWidth="1"/>
    <col min="4" max="13" width="14.7109375" style="1" customWidth="1"/>
    <col min="14" max="16384" width="9.140625" style="1"/>
  </cols>
  <sheetData>
    <row r="1" spans="1:13" ht="14.1" customHeight="1" x14ac:dyDescent="0.25">
      <c r="A1" s="92" t="s">
        <v>71</v>
      </c>
      <c r="B1" s="94">
        <v>198923</v>
      </c>
      <c r="L1" s="38" t="s">
        <v>71</v>
      </c>
      <c r="M1" s="39">
        <v>198923</v>
      </c>
    </row>
    <row r="2" spans="1:13" ht="14.1" customHeight="1" thickBot="1" x14ac:dyDescent="0.25">
      <c r="L2" s="40"/>
      <c r="M2" s="41"/>
    </row>
    <row r="3" spans="1:13" ht="14.1" customHeight="1" x14ac:dyDescent="0.2">
      <c r="B3" s="137"/>
      <c r="C3" s="126" t="s">
        <v>100</v>
      </c>
      <c r="D3" s="127" t="s">
        <v>56</v>
      </c>
      <c r="E3" s="128"/>
      <c r="F3" s="127"/>
      <c r="G3" s="127" t="s">
        <v>124</v>
      </c>
      <c r="H3" s="127"/>
      <c r="I3" s="127"/>
      <c r="J3" s="127" t="s">
        <v>125</v>
      </c>
      <c r="K3" s="127"/>
      <c r="L3" s="127"/>
      <c r="M3" s="129"/>
    </row>
    <row r="4" spans="1:13" ht="14.1" customHeight="1" x14ac:dyDescent="0.2">
      <c r="A4" s="5"/>
      <c r="B4" s="147" t="s">
        <v>28</v>
      </c>
      <c r="C4" s="148" t="s">
        <v>118</v>
      </c>
      <c r="D4" s="149">
        <v>2021</v>
      </c>
      <c r="E4" s="106">
        <f>D4+1</f>
        <v>2022</v>
      </c>
      <c r="F4" s="106">
        <f t="shared" ref="F4:M4" si="0">E4+1</f>
        <v>2023</v>
      </c>
      <c r="G4" s="106">
        <f t="shared" si="0"/>
        <v>2024</v>
      </c>
      <c r="H4" s="106">
        <f t="shared" si="0"/>
        <v>2025</v>
      </c>
      <c r="I4" s="106">
        <f t="shared" si="0"/>
        <v>2026</v>
      </c>
      <c r="J4" s="106">
        <f t="shared" si="0"/>
        <v>2027</v>
      </c>
      <c r="K4" s="106">
        <f t="shared" si="0"/>
        <v>2028</v>
      </c>
      <c r="L4" s="106">
        <f t="shared" si="0"/>
        <v>2029</v>
      </c>
      <c r="M4" s="150">
        <f t="shared" si="0"/>
        <v>2030</v>
      </c>
    </row>
    <row r="5" spans="1:13" ht="18" customHeight="1" x14ac:dyDescent="0.2">
      <c r="A5" s="10" t="s">
        <v>16</v>
      </c>
      <c r="B5" s="9"/>
      <c r="C5" s="9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3" ht="14.1" customHeight="1" x14ac:dyDescent="0.2">
      <c r="A6" s="11" t="s">
        <v>12</v>
      </c>
      <c r="B6" s="304">
        <v>0.02</v>
      </c>
      <c r="C6" s="294">
        <f>1+B6</f>
        <v>1.02</v>
      </c>
      <c r="D6" s="277">
        <f>C6*(1+$B$6)</f>
        <v>1.0404</v>
      </c>
      <c r="E6" s="277">
        <f t="shared" ref="E6:M6" si="1">D6*(1+$B$6)</f>
        <v>1.0612079999999999</v>
      </c>
      <c r="F6" s="277">
        <f t="shared" si="1"/>
        <v>1.08243216</v>
      </c>
      <c r="G6" s="283">
        <f t="shared" si="1"/>
        <v>1.1040808032</v>
      </c>
      <c r="H6" s="283">
        <f t="shared" si="1"/>
        <v>1.1261624192640001</v>
      </c>
      <c r="I6" s="283">
        <f t="shared" si="1"/>
        <v>1.14868566764928</v>
      </c>
      <c r="J6" s="289">
        <f t="shared" si="1"/>
        <v>1.1716593810022657</v>
      </c>
      <c r="K6" s="289">
        <f t="shared" si="1"/>
        <v>1.1950925686223111</v>
      </c>
      <c r="L6" s="289">
        <f t="shared" si="1"/>
        <v>1.2189944199947573</v>
      </c>
      <c r="M6" s="289">
        <f t="shared" si="1"/>
        <v>1.2433743083946525</v>
      </c>
    </row>
    <row r="7" spans="1:13" ht="14.1" customHeight="1" x14ac:dyDescent="0.2">
      <c r="A7" s="331" t="s">
        <v>116</v>
      </c>
      <c r="B7" s="372"/>
      <c r="C7" s="294">
        <f>'Development Schedule'!D14</f>
        <v>0</v>
      </c>
      <c r="D7" s="277">
        <f>'Development Schedule'!E14</f>
        <v>0</v>
      </c>
      <c r="E7" s="277">
        <f>'Development Schedule'!F14</f>
        <v>0</v>
      </c>
      <c r="F7" s="277">
        <f>'Development Schedule'!G14</f>
        <v>0</v>
      </c>
      <c r="G7" s="283">
        <f>'Development Schedule'!H14</f>
        <v>196296</v>
      </c>
      <c r="H7" s="283">
        <f>'Development Schedule'!I14</f>
        <v>0</v>
      </c>
      <c r="I7" s="283">
        <f>'Development Schedule'!J14</f>
        <v>0</v>
      </c>
      <c r="J7" s="289">
        <f>'Development Schedule'!K14</f>
        <v>0</v>
      </c>
      <c r="K7" s="289">
        <f>'Development Schedule'!L14</f>
        <v>0</v>
      </c>
      <c r="L7" s="289">
        <f>'Development Schedule'!M14</f>
        <v>0</v>
      </c>
      <c r="M7" s="289">
        <f>'Development Schedule'!N14</f>
        <v>0</v>
      </c>
    </row>
    <row r="8" spans="1:13" ht="14.1" customHeight="1" x14ac:dyDescent="0.2">
      <c r="A8" s="331" t="s">
        <v>59</v>
      </c>
      <c r="B8" s="372"/>
      <c r="C8" s="294">
        <f>'Development Schedule'!D39</f>
        <v>0</v>
      </c>
      <c r="D8" s="277">
        <f>'Development Schedule'!E39</f>
        <v>0</v>
      </c>
      <c r="E8" s="277">
        <f>'Development Schedule'!F39</f>
        <v>0</v>
      </c>
      <c r="F8" s="277">
        <f>'Development Schedule'!G39</f>
        <v>0</v>
      </c>
      <c r="G8" s="283">
        <f>'Development Schedule'!H39</f>
        <v>137407.19999999998</v>
      </c>
      <c r="H8" s="283">
        <f>'Development Schedule'!I39</f>
        <v>0</v>
      </c>
      <c r="I8" s="283">
        <f>'Development Schedule'!J39</f>
        <v>0</v>
      </c>
      <c r="J8" s="289">
        <f>'Development Schedule'!K39</f>
        <v>0</v>
      </c>
      <c r="K8" s="289">
        <f>'Development Schedule'!L39</f>
        <v>0</v>
      </c>
      <c r="L8" s="289">
        <f>'Development Schedule'!M39</f>
        <v>0</v>
      </c>
      <c r="M8" s="289">
        <f>'Development Schedule'!N39</f>
        <v>0</v>
      </c>
    </row>
    <row r="9" spans="1:13" ht="14.1" customHeight="1" x14ac:dyDescent="0.2">
      <c r="A9" s="11" t="s">
        <v>69</v>
      </c>
      <c r="B9" s="45">
        <v>325</v>
      </c>
      <c r="C9" s="419">
        <f t="shared" ref="C9:M9" si="2">C8/$B$9</f>
        <v>0</v>
      </c>
      <c r="D9" s="423">
        <f t="shared" si="2"/>
        <v>0</v>
      </c>
      <c r="E9" s="423">
        <f t="shared" si="2"/>
        <v>0</v>
      </c>
      <c r="F9" s="423">
        <f t="shared" si="2"/>
        <v>0</v>
      </c>
      <c r="G9" s="429">
        <f t="shared" si="2"/>
        <v>422.79138461538457</v>
      </c>
      <c r="H9" s="429">
        <f t="shared" si="2"/>
        <v>0</v>
      </c>
      <c r="I9" s="429">
        <f t="shared" si="2"/>
        <v>0</v>
      </c>
      <c r="J9" s="433">
        <f t="shared" si="2"/>
        <v>0</v>
      </c>
      <c r="K9" s="433">
        <f t="shared" si="2"/>
        <v>0</v>
      </c>
      <c r="L9" s="433">
        <f t="shared" si="2"/>
        <v>0</v>
      </c>
      <c r="M9" s="433">
        <f t="shared" si="2"/>
        <v>0</v>
      </c>
    </row>
    <row r="10" spans="1:13" ht="14.1" customHeight="1" x14ac:dyDescent="0.2">
      <c r="A10" s="331" t="s">
        <v>272</v>
      </c>
      <c r="B10" s="45"/>
      <c r="C10" s="419"/>
      <c r="D10" s="423"/>
      <c r="E10" s="423"/>
      <c r="F10" s="423"/>
      <c r="G10" s="429">
        <f>G9</f>
        <v>422.79138461538457</v>
      </c>
      <c r="H10" s="429">
        <f>G10</f>
        <v>422.79138461538457</v>
      </c>
      <c r="I10" s="429">
        <f t="shared" ref="I10:M10" si="3">H10</f>
        <v>422.79138461538457</v>
      </c>
      <c r="J10" s="433">
        <f t="shared" si="3"/>
        <v>422.79138461538457</v>
      </c>
      <c r="K10" s="433">
        <f t="shared" si="3"/>
        <v>422.79138461538457</v>
      </c>
      <c r="L10" s="433">
        <f t="shared" si="3"/>
        <v>422.79138461538457</v>
      </c>
      <c r="M10" s="433">
        <f t="shared" si="3"/>
        <v>422.79138461538457</v>
      </c>
    </row>
    <row r="11" spans="1:13" ht="14.1" customHeight="1" x14ac:dyDescent="0.2">
      <c r="A11" s="11" t="s">
        <v>273</v>
      </c>
      <c r="B11" s="27">
        <v>0.65</v>
      </c>
      <c r="C11" s="420">
        <f t="shared" ref="C11:F11" si="4">C9*$B$11</f>
        <v>0</v>
      </c>
      <c r="D11" s="424">
        <f t="shared" si="4"/>
        <v>0</v>
      </c>
      <c r="E11" s="424">
        <f t="shared" si="4"/>
        <v>0</v>
      </c>
      <c r="F11" s="424">
        <f t="shared" si="4"/>
        <v>0</v>
      </c>
      <c r="G11" s="430">
        <f>G10*$B$11</f>
        <v>274.81439999999998</v>
      </c>
      <c r="H11" s="430">
        <f t="shared" ref="H11:M11" si="5">H10*$B$11</f>
        <v>274.81439999999998</v>
      </c>
      <c r="I11" s="430">
        <f t="shared" si="5"/>
        <v>274.81439999999998</v>
      </c>
      <c r="J11" s="434">
        <f t="shared" si="5"/>
        <v>274.81439999999998</v>
      </c>
      <c r="K11" s="434">
        <f t="shared" si="5"/>
        <v>274.81439999999998</v>
      </c>
      <c r="L11" s="434">
        <f t="shared" si="5"/>
        <v>274.81439999999998</v>
      </c>
      <c r="M11" s="434">
        <f t="shared" si="5"/>
        <v>274.81439999999998</v>
      </c>
    </row>
    <row r="12" spans="1:13" ht="14.1" customHeight="1" x14ac:dyDescent="0.2">
      <c r="A12" s="18" t="s">
        <v>70</v>
      </c>
      <c r="B12" s="418">
        <v>160</v>
      </c>
      <c r="C12" s="403"/>
      <c r="D12" s="425"/>
      <c r="E12" s="425"/>
      <c r="F12" s="425"/>
      <c r="G12" s="431"/>
      <c r="H12" s="431"/>
      <c r="I12" s="431"/>
      <c r="J12" s="435"/>
      <c r="K12" s="435"/>
      <c r="L12" s="435"/>
      <c r="M12" s="435"/>
    </row>
    <row r="13" spans="1:13" ht="18" customHeight="1" x14ac:dyDescent="0.2">
      <c r="A13" s="10" t="s">
        <v>0</v>
      </c>
      <c r="B13" s="45"/>
      <c r="C13" s="215"/>
      <c r="D13" s="177"/>
      <c r="E13" s="177"/>
      <c r="F13" s="177"/>
      <c r="G13" s="204"/>
      <c r="H13" s="204"/>
      <c r="I13" s="204"/>
      <c r="J13" s="191"/>
      <c r="K13" s="191"/>
      <c r="L13" s="191"/>
      <c r="M13" s="191"/>
    </row>
    <row r="14" spans="1:13" ht="14.1" customHeight="1" x14ac:dyDescent="0.2">
      <c r="A14" s="11" t="s">
        <v>18</v>
      </c>
      <c r="B14" s="24"/>
      <c r="C14" s="216">
        <f>$B$12*C11*365</f>
        <v>0</v>
      </c>
      <c r="D14" s="178">
        <f t="shared" ref="D14:M14" si="6">$B$12*D11*365</f>
        <v>0</v>
      </c>
      <c r="E14" s="178">
        <f t="shared" si="6"/>
        <v>0</v>
      </c>
      <c r="F14" s="178">
        <f t="shared" si="6"/>
        <v>0</v>
      </c>
      <c r="G14" s="357">
        <f t="shared" si="6"/>
        <v>16049160.959999999</v>
      </c>
      <c r="H14" s="357">
        <f t="shared" si="6"/>
        <v>16049160.959999999</v>
      </c>
      <c r="I14" s="357">
        <f t="shared" si="6"/>
        <v>16049160.959999999</v>
      </c>
      <c r="J14" s="351">
        <f t="shared" si="6"/>
        <v>16049160.959999999</v>
      </c>
      <c r="K14" s="351">
        <f t="shared" si="6"/>
        <v>16049160.959999999</v>
      </c>
      <c r="L14" s="351">
        <f t="shared" si="6"/>
        <v>16049160.959999999</v>
      </c>
      <c r="M14" s="351">
        <f t="shared" si="6"/>
        <v>16049160.959999999</v>
      </c>
    </row>
    <row r="15" spans="1:13" s="33" customFormat="1" ht="14.1" customHeight="1" x14ac:dyDescent="0.2">
      <c r="A15" s="31" t="s">
        <v>19</v>
      </c>
      <c r="B15" s="32"/>
      <c r="C15" s="421"/>
      <c r="D15" s="426"/>
      <c r="E15" s="426"/>
      <c r="F15" s="426"/>
      <c r="G15" s="734"/>
      <c r="H15" s="734"/>
      <c r="I15" s="734"/>
      <c r="J15" s="735"/>
      <c r="K15" s="735"/>
      <c r="L15" s="735"/>
      <c r="M15" s="735"/>
    </row>
    <row r="16" spans="1:13" s="33" customFormat="1" ht="14.1" customHeight="1" x14ac:dyDescent="0.2">
      <c r="A16" s="34" t="s">
        <v>20</v>
      </c>
      <c r="B16" s="35"/>
      <c r="C16" s="422"/>
      <c r="D16" s="427"/>
      <c r="E16" s="427"/>
      <c r="F16" s="427"/>
      <c r="G16" s="736">
        <f>SUM(G14:G15)</f>
        <v>16049160.959999999</v>
      </c>
      <c r="H16" s="736">
        <f>SUM(H14:H15)</f>
        <v>16049160.959999999</v>
      </c>
      <c r="I16" s="736">
        <f t="shared" ref="I16:M16" si="7">SUM(I14:I15)</f>
        <v>16049160.959999999</v>
      </c>
      <c r="J16" s="737">
        <f t="shared" si="7"/>
        <v>16049160.959999999</v>
      </c>
      <c r="K16" s="737">
        <f t="shared" si="7"/>
        <v>16049160.959999999</v>
      </c>
      <c r="L16" s="737">
        <f t="shared" si="7"/>
        <v>16049160.959999999</v>
      </c>
      <c r="M16" s="737">
        <f t="shared" si="7"/>
        <v>16049160.959999999</v>
      </c>
    </row>
    <row r="17" spans="1:14" s="33" customFormat="1" ht="14.1" customHeight="1" x14ac:dyDescent="0.2">
      <c r="A17" s="34" t="s">
        <v>271</v>
      </c>
      <c r="B17" s="35">
        <v>0.28000000000000003</v>
      </c>
      <c r="C17" s="422"/>
      <c r="D17" s="427"/>
      <c r="E17" s="427"/>
      <c r="F17" s="427"/>
      <c r="G17" s="736">
        <f>G16*-$B$17</f>
        <v>-4493765.0688000005</v>
      </c>
      <c r="H17" s="736">
        <f t="shared" ref="H17:M17" si="8">H16*-$B$17</f>
        <v>-4493765.0688000005</v>
      </c>
      <c r="I17" s="736">
        <f t="shared" si="8"/>
        <v>-4493765.0688000005</v>
      </c>
      <c r="J17" s="737">
        <f t="shared" si="8"/>
        <v>-4493765.0688000005</v>
      </c>
      <c r="K17" s="737">
        <f t="shared" si="8"/>
        <v>-4493765.0688000005</v>
      </c>
      <c r="L17" s="737">
        <f t="shared" si="8"/>
        <v>-4493765.0688000005</v>
      </c>
      <c r="M17" s="737">
        <f t="shared" si="8"/>
        <v>-4493765.0688000005</v>
      </c>
    </row>
    <row r="18" spans="1:14" ht="14.1" customHeight="1" x14ac:dyDescent="0.2">
      <c r="A18" s="437" t="s">
        <v>5</v>
      </c>
      <c r="B18" s="701"/>
      <c r="C18" s="697"/>
      <c r="D18" s="702"/>
      <c r="E18" s="702"/>
      <c r="F18" s="702"/>
      <c r="G18" s="738">
        <f>SUM(G16:G17)</f>
        <v>11555395.891199999</v>
      </c>
      <c r="H18" s="738">
        <f t="shared" ref="H18:M18" si="9">SUM(H16:H17)</f>
        <v>11555395.891199999</v>
      </c>
      <c r="I18" s="738">
        <f t="shared" si="9"/>
        <v>11555395.891199999</v>
      </c>
      <c r="J18" s="739">
        <f t="shared" si="9"/>
        <v>11555395.891199999</v>
      </c>
      <c r="K18" s="739">
        <f t="shared" si="9"/>
        <v>11555395.891199999</v>
      </c>
      <c r="L18" s="739">
        <f t="shared" si="9"/>
        <v>11555395.891199999</v>
      </c>
      <c r="M18" s="739">
        <f t="shared" si="9"/>
        <v>11555395.891199999</v>
      </c>
    </row>
    <row r="19" spans="1:14" ht="18" customHeight="1" x14ac:dyDescent="0.2">
      <c r="A19" s="10" t="s">
        <v>2</v>
      </c>
      <c r="B19" s="45"/>
      <c r="C19" s="215"/>
      <c r="D19" s="177"/>
      <c r="E19" s="177"/>
      <c r="F19" s="177"/>
      <c r="G19" s="204"/>
      <c r="H19" s="204"/>
      <c r="I19" s="204"/>
      <c r="J19" s="191"/>
      <c r="K19" s="191"/>
      <c r="L19" s="191"/>
      <c r="M19" s="191"/>
    </row>
    <row r="20" spans="1:14" ht="14.1" customHeight="1" x14ac:dyDescent="0.2">
      <c r="A20" s="11" t="s">
        <v>14</v>
      </c>
      <c r="B20" s="24"/>
      <c r="C20" s="212"/>
      <c r="D20" s="173"/>
      <c r="E20" s="173"/>
      <c r="F20" s="173"/>
      <c r="G20" s="432">
        <v>1</v>
      </c>
      <c r="H20" s="199"/>
      <c r="I20" s="199"/>
      <c r="J20" s="186"/>
      <c r="K20" s="186"/>
      <c r="L20" s="186"/>
      <c r="M20" s="186"/>
    </row>
    <row r="21" spans="1:14" ht="14.1" customHeight="1" x14ac:dyDescent="0.2">
      <c r="A21" s="11" t="s">
        <v>2</v>
      </c>
      <c r="B21" s="24">
        <v>250</v>
      </c>
      <c r="C21" s="212"/>
      <c r="D21" s="173"/>
      <c r="E21" s="173"/>
      <c r="F21" s="173"/>
      <c r="G21" s="199">
        <f>B21*'Development Schedule'!H14</f>
        <v>49074000</v>
      </c>
      <c r="H21" s="199"/>
      <c r="I21" s="199"/>
      <c r="J21" s="186"/>
      <c r="K21" s="186"/>
      <c r="L21" s="186"/>
      <c r="M21" s="186"/>
    </row>
    <row r="22" spans="1:14" ht="14.1" customHeight="1" x14ac:dyDescent="0.2">
      <c r="A22" s="11" t="s">
        <v>15</v>
      </c>
      <c r="B22" s="24"/>
      <c r="C22" s="212"/>
      <c r="D22" s="173"/>
      <c r="E22" s="173"/>
      <c r="F22" s="173"/>
      <c r="G22" s="199"/>
      <c r="H22" s="199"/>
      <c r="I22" s="199"/>
      <c r="J22" s="186"/>
      <c r="K22" s="186"/>
      <c r="L22" s="186"/>
      <c r="M22" s="186"/>
    </row>
    <row r="23" spans="1:14" ht="14.1" customHeight="1" x14ac:dyDescent="0.2">
      <c r="A23" s="437" t="s">
        <v>3</v>
      </c>
      <c r="B23" s="701"/>
      <c r="C23" s="631"/>
      <c r="D23" s="703"/>
      <c r="E23" s="703"/>
      <c r="F23" s="703"/>
      <c r="G23" s="704">
        <f>SUM(G21:G22)</f>
        <v>49074000</v>
      </c>
      <c r="H23" s="704"/>
      <c r="I23" s="704"/>
      <c r="J23" s="705"/>
      <c r="K23" s="705"/>
      <c r="L23" s="705"/>
      <c r="M23" s="705"/>
    </row>
    <row r="24" spans="1:14" ht="18" customHeight="1" x14ac:dyDescent="0.2">
      <c r="A24" s="10" t="s">
        <v>4</v>
      </c>
      <c r="B24" s="45"/>
      <c r="C24" s="215"/>
      <c r="D24" s="177"/>
      <c r="E24" s="177"/>
      <c r="F24" s="177"/>
      <c r="G24" s="204"/>
      <c r="H24" s="204"/>
      <c r="I24" s="204"/>
      <c r="J24" s="191"/>
      <c r="K24" s="191"/>
      <c r="L24" s="191"/>
      <c r="M24" s="191"/>
    </row>
    <row r="25" spans="1:14" ht="14.1" customHeight="1" x14ac:dyDescent="0.2">
      <c r="A25" s="11" t="s">
        <v>5</v>
      </c>
      <c r="B25" s="26"/>
      <c r="C25" s="222">
        <f t="shared" ref="C25:M25" si="10">C18</f>
        <v>0</v>
      </c>
      <c r="D25" s="428">
        <f t="shared" si="10"/>
        <v>0</v>
      </c>
      <c r="E25" s="428">
        <f t="shared" si="10"/>
        <v>0</v>
      </c>
      <c r="F25" s="428">
        <f t="shared" si="10"/>
        <v>0</v>
      </c>
      <c r="G25" s="210">
        <f t="shared" si="10"/>
        <v>11555395.891199999</v>
      </c>
      <c r="H25" s="210">
        <f t="shared" si="10"/>
        <v>11555395.891199999</v>
      </c>
      <c r="I25" s="210">
        <f t="shared" si="10"/>
        <v>11555395.891199999</v>
      </c>
      <c r="J25" s="197">
        <f t="shared" si="10"/>
        <v>11555395.891199999</v>
      </c>
      <c r="K25" s="197">
        <f t="shared" si="10"/>
        <v>11555395.891199999</v>
      </c>
      <c r="L25" s="197">
        <f t="shared" si="10"/>
        <v>11555395.891199999</v>
      </c>
      <c r="M25" s="197">
        <f t="shared" si="10"/>
        <v>11555395.891199999</v>
      </c>
    </row>
    <row r="26" spans="1:14" ht="14.1" customHeight="1" x14ac:dyDescent="0.2">
      <c r="A26" s="11" t="s">
        <v>102</v>
      </c>
      <c r="B26" s="16">
        <v>3.7499999999999999E-2</v>
      </c>
      <c r="C26" s="216"/>
      <c r="D26" s="365"/>
      <c r="E26" s="365"/>
      <c r="F26" s="365"/>
      <c r="G26" s="714"/>
      <c r="H26" s="714"/>
      <c r="I26" s="714"/>
      <c r="J26" s="715"/>
      <c r="K26" s="715"/>
      <c r="L26" s="715"/>
      <c r="M26" s="715">
        <f>M25/B26</f>
        <v>308143890.43199998</v>
      </c>
      <c r="N26" s="46"/>
    </row>
    <row r="27" spans="1:14" ht="14.1" customHeight="1" x14ac:dyDescent="0.2">
      <c r="A27" s="11" t="s">
        <v>103</v>
      </c>
      <c r="B27" s="16">
        <v>0.05</v>
      </c>
      <c r="C27" s="216"/>
      <c r="D27" s="365"/>
      <c r="E27" s="365"/>
      <c r="F27" s="365"/>
      <c r="G27" s="714"/>
      <c r="H27" s="714"/>
      <c r="I27" s="714"/>
      <c r="J27" s="715"/>
      <c r="K27" s="715"/>
      <c r="L27" s="715"/>
      <c r="M27" s="715">
        <f>-M26*B27</f>
        <v>-15407194.521600001</v>
      </c>
      <c r="N27" s="46"/>
    </row>
    <row r="28" spans="1:14" ht="14.1" customHeight="1" x14ac:dyDescent="0.2">
      <c r="A28" s="11" t="s">
        <v>3</v>
      </c>
      <c r="B28" s="16"/>
      <c r="C28" s="216">
        <f>-C23</f>
        <v>0</v>
      </c>
      <c r="D28" s="178">
        <f t="shared" ref="D28:M28" si="11">-D23</f>
        <v>0</v>
      </c>
      <c r="E28" s="178">
        <f t="shared" si="11"/>
        <v>0</v>
      </c>
      <c r="F28" s="178">
        <f t="shared" si="11"/>
        <v>0</v>
      </c>
      <c r="G28" s="357">
        <f t="shared" si="11"/>
        <v>-49074000</v>
      </c>
      <c r="H28" s="357">
        <f t="shared" si="11"/>
        <v>0</v>
      </c>
      <c r="I28" s="357">
        <f t="shared" si="11"/>
        <v>0</v>
      </c>
      <c r="J28" s="351">
        <f t="shared" si="11"/>
        <v>0</v>
      </c>
      <c r="K28" s="351">
        <f t="shared" si="11"/>
        <v>0</v>
      </c>
      <c r="L28" s="351">
        <f t="shared" si="11"/>
        <v>0</v>
      </c>
      <c r="M28" s="351">
        <f t="shared" si="11"/>
        <v>0</v>
      </c>
      <c r="N28" s="46"/>
    </row>
    <row r="29" spans="1:14" ht="14.1" customHeight="1" x14ac:dyDescent="0.2">
      <c r="A29" s="18" t="s">
        <v>6</v>
      </c>
      <c r="B29" s="23"/>
      <c r="C29" s="300">
        <f>SUM(C25:C28)</f>
        <v>0</v>
      </c>
      <c r="D29" s="279">
        <f t="shared" ref="D29:M29" si="12">SUM(D25:D28)</f>
        <v>0</v>
      </c>
      <c r="E29" s="279">
        <f t="shared" si="12"/>
        <v>0</v>
      </c>
      <c r="F29" s="279">
        <f t="shared" si="12"/>
        <v>0</v>
      </c>
      <c r="G29" s="286">
        <f t="shared" si="12"/>
        <v>-37518604.108800001</v>
      </c>
      <c r="H29" s="286">
        <f t="shared" si="12"/>
        <v>11555395.891199999</v>
      </c>
      <c r="I29" s="286">
        <f t="shared" si="12"/>
        <v>11555395.891199999</v>
      </c>
      <c r="J29" s="292">
        <f t="shared" si="12"/>
        <v>11555395.891199999</v>
      </c>
      <c r="K29" s="292">
        <f t="shared" si="12"/>
        <v>11555395.891199999</v>
      </c>
      <c r="L29" s="292">
        <f t="shared" si="12"/>
        <v>11555395.891199999</v>
      </c>
      <c r="M29" s="292">
        <f t="shared" si="12"/>
        <v>304292091.80159998</v>
      </c>
      <c r="N29" s="46"/>
    </row>
    <row r="30" spans="1:14" ht="18" customHeight="1" x14ac:dyDescent="0.2">
      <c r="A30" s="10" t="s">
        <v>39</v>
      </c>
      <c r="B30" s="29">
        <v>0.1</v>
      </c>
      <c r="C30" s="733">
        <f>NPV(B30,C29:M29)</f>
        <v>110555284.16114864</v>
      </c>
      <c r="D30" s="177"/>
      <c r="E30" s="177"/>
      <c r="F30" s="177"/>
      <c r="G30" s="204"/>
      <c r="H30" s="204"/>
      <c r="I30" s="204"/>
      <c r="J30" s="191"/>
      <c r="K30" s="191"/>
      <c r="L30" s="191"/>
      <c r="M30" s="191"/>
      <c r="N30" s="46"/>
    </row>
    <row r="31" spans="1:14" ht="18" customHeight="1" x14ac:dyDescent="0.2">
      <c r="A31" s="19" t="s">
        <v>105</v>
      </c>
      <c r="B31" s="706"/>
      <c r="C31" s="707">
        <f>IRR(C29:M29,0)</f>
        <v>0.57939513098013817</v>
      </c>
      <c r="D31" s="181"/>
      <c r="E31" s="181"/>
      <c r="F31" s="181"/>
      <c r="G31" s="208"/>
      <c r="H31" s="208"/>
      <c r="I31" s="208"/>
      <c r="J31" s="195"/>
      <c r="K31" s="195"/>
      <c r="L31" s="195"/>
      <c r="M31" s="195"/>
      <c r="N31" s="46"/>
    </row>
    <row r="32" spans="1:14" ht="18" customHeight="1" x14ac:dyDescent="0.2">
      <c r="A32" s="19" t="s">
        <v>90</v>
      </c>
      <c r="B32" s="706"/>
      <c r="C32" s="631"/>
      <c r="D32" s="181"/>
      <c r="E32" s="181"/>
      <c r="F32" s="181"/>
      <c r="G32" s="208"/>
      <c r="H32" s="208"/>
      <c r="I32" s="208"/>
      <c r="J32" s="195"/>
      <c r="K32" s="195"/>
      <c r="L32" s="195"/>
      <c r="M32" s="195"/>
      <c r="N32" s="46"/>
    </row>
  </sheetData>
  <phoneticPr fontId="2" type="noConversion"/>
  <pageMargins left="0.5" right="0.5" top="1" bottom="0.5" header="0.5" footer="0.5"/>
  <pageSetup orientation="landscape" r:id="rId1"/>
  <headerFooter alignWithMargins="0">
    <oddHeader>&amp;L&amp;"Arial,Bold"9. Income Statement: Hotel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F38" sqref="F38"/>
    </sheetView>
  </sheetViews>
  <sheetFormatPr defaultColWidth="11.42578125" defaultRowHeight="12.75" x14ac:dyDescent="0.2"/>
  <cols>
    <col min="1" max="13" width="14.7109375" customWidth="1"/>
    <col min="14" max="14" width="13.85546875" customWidth="1"/>
  </cols>
  <sheetData>
    <row r="1" spans="1:14" x14ac:dyDescent="0.2">
      <c r="A1" s="38" t="s">
        <v>71</v>
      </c>
      <c r="B1" s="39">
        <v>198923</v>
      </c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3.5" thickBot="1" x14ac:dyDescent="0.25">
      <c r="A2" s="1"/>
      <c r="B2" s="48"/>
      <c r="C2" s="48">
        <v>0</v>
      </c>
      <c r="D2" s="46">
        <v>1</v>
      </c>
      <c r="E2" s="48">
        <v>2</v>
      </c>
      <c r="F2" s="46">
        <v>3</v>
      </c>
      <c r="G2" s="48">
        <v>4</v>
      </c>
      <c r="H2" s="46">
        <v>5</v>
      </c>
      <c r="I2" s="48">
        <v>6</v>
      </c>
      <c r="J2" s="46">
        <v>7</v>
      </c>
      <c r="K2" s="48">
        <v>8</v>
      </c>
      <c r="L2" s="46">
        <v>9</v>
      </c>
      <c r="M2" s="48">
        <v>10</v>
      </c>
      <c r="N2" s="1"/>
    </row>
    <row r="3" spans="1:14" x14ac:dyDescent="0.2">
      <c r="A3" s="1"/>
      <c r="B3" s="137"/>
      <c r="C3" s="126" t="s">
        <v>100</v>
      </c>
      <c r="D3" s="127" t="s">
        <v>56</v>
      </c>
      <c r="E3" s="128"/>
      <c r="F3" s="127"/>
      <c r="G3" s="127" t="s">
        <v>124</v>
      </c>
      <c r="H3" s="127"/>
      <c r="I3" s="127"/>
      <c r="J3" s="127" t="s">
        <v>125</v>
      </c>
      <c r="K3" s="127"/>
      <c r="L3" s="127"/>
      <c r="M3" s="129"/>
      <c r="N3" s="1"/>
    </row>
    <row r="4" spans="1:14" x14ac:dyDescent="0.2">
      <c r="A4" s="5"/>
      <c r="B4" s="147" t="s">
        <v>28</v>
      </c>
      <c r="C4" s="148" t="s">
        <v>118</v>
      </c>
      <c r="D4" s="149">
        <v>2021</v>
      </c>
      <c r="E4" s="106">
        <f>D4+1</f>
        <v>2022</v>
      </c>
      <c r="F4" s="106">
        <f t="shared" ref="F4:M4" si="0">E4+1</f>
        <v>2023</v>
      </c>
      <c r="G4" s="106">
        <f t="shared" si="0"/>
        <v>2024</v>
      </c>
      <c r="H4" s="106">
        <f t="shared" si="0"/>
        <v>2025</v>
      </c>
      <c r="I4" s="106">
        <f t="shared" si="0"/>
        <v>2026</v>
      </c>
      <c r="J4" s="106">
        <f t="shared" si="0"/>
        <v>2027</v>
      </c>
      <c r="K4" s="106">
        <f t="shared" si="0"/>
        <v>2028</v>
      </c>
      <c r="L4" s="106">
        <f t="shared" si="0"/>
        <v>2029</v>
      </c>
      <c r="M4" s="150">
        <f t="shared" si="0"/>
        <v>2030</v>
      </c>
      <c r="N4" s="1" t="s">
        <v>243</v>
      </c>
    </row>
    <row r="5" spans="1:14" x14ac:dyDescent="0.2">
      <c r="A5" s="42" t="s">
        <v>11</v>
      </c>
      <c r="B5" s="303"/>
      <c r="C5" s="211"/>
      <c r="D5" s="276"/>
      <c r="E5" s="276"/>
      <c r="F5" s="276"/>
      <c r="G5" s="282"/>
      <c r="H5" s="282"/>
      <c r="I5" s="282"/>
      <c r="J5" s="288"/>
      <c r="K5" s="288"/>
      <c r="L5" s="288"/>
      <c r="M5" s="288"/>
      <c r="N5" s="1"/>
    </row>
    <row r="6" spans="1:14" x14ac:dyDescent="0.2">
      <c r="A6" s="25" t="s">
        <v>12</v>
      </c>
      <c r="B6" s="304">
        <v>0.02</v>
      </c>
      <c r="C6" s="294">
        <f>1+B6</f>
        <v>1.02</v>
      </c>
      <c r="D6" s="277">
        <f>C6*(1+$B$6)</f>
        <v>1.0404</v>
      </c>
      <c r="E6" s="277">
        <f t="shared" ref="E6:M6" si="1">D6*(1+$B$6)</f>
        <v>1.0612079999999999</v>
      </c>
      <c r="F6" s="277">
        <f t="shared" si="1"/>
        <v>1.08243216</v>
      </c>
      <c r="G6" s="283">
        <f t="shared" si="1"/>
        <v>1.1040808032</v>
      </c>
      <c r="H6" s="283">
        <f t="shared" si="1"/>
        <v>1.1261624192640001</v>
      </c>
      <c r="I6" s="283">
        <f t="shared" si="1"/>
        <v>1.14868566764928</v>
      </c>
      <c r="J6" s="289">
        <f t="shared" si="1"/>
        <v>1.1716593810022657</v>
      </c>
      <c r="K6" s="289">
        <f t="shared" si="1"/>
        <v>1.1950925686223111</v>
      </c>
      <c r="L6" s="289">
        <f t="shared" si="1"/>
        <v>1.2189944199947573</v>
      </c>
      <c r="M6" s="289">
        <f t="shared" si="1"/>
        <v>1.2433743083946525</v>
      </c>
      <c r="N6" s="1"/>
    </row>
    <row r="7" spans="1:14" x14ac:dyDescent="0.2">
      <c r="A7" s="25" t="s">
        <v>116</v>
      </c>
      <c r="B7" s="319"/>
      <c r="C7" s="295">
        <f>'Development Schedule'!D15</f>
        <v>0</v>
      </c>
      <c r="D7" s="278">
        <f>'Development Schedule'!E15</f>
        <v>94133.5</v>
      </c>
      <c r="E7" s="278">
        <f>'Development Schedule'!F15</f>
        <v>94133.5</v>
      </c>
      <c r="F7" s="278">
        <f>'Development Schedule'!G15</f>
        <v>0</v>
      </c>
      <c r="G7" s="284">
        <f>'Development Schedule'!H15</f>
        <v>0</v>
      </c>
      <c r="H7" s="284">
        <f>'Development Schedule'!I15</f>
        <v>0</v>
      </c>
      <c r="I7" s="284">
        <f>'Development Schedule'!J15</f>
        <v>0</v>
      </c>
      <c r="J7" s="290">
        <f>'Development Schedule'!K15</f>
        <v>0</v>
      </c>
      <c r="K7" s="290">
        <f>'Development Schedule'!L15</f>
        <v>0</v>
      </c>
      <c r="L7" s="290">
        <f>'Development Schedule'!M15</f>
        <v>0</v>
      </c>
      <c r="M7" s="290">
        <f>'Development Schedule'!N15</f>
        <v>0</v>
      </c>
      <c r="N7" s="1"/>
    </row>
    <row r="8" spans="1:14" x14ac:dyDescent="0.2">
      <c r="A8" s="25" t="s">
        <v>245</v>
      </c>
      <c r="B8" s="320"/>
      <c r="C8" s="322"/>
      <c r="D8" s="172">
        <v>0</v>
      </c>
      <c r="E8" s="172">
        <f>SUM(D7:M7)</f>
        <v>188267</v>
      </c>
      <c r="F8" s="172">
        <f t="shared" ref="F8:M8" si="2">F7*$B$10</f>
        <v>0</v>
      </c>
      <c r="G8" s="198">
        <f t="shared" si="2"/>
        <v>0</v>
      </c>
      <c r="H8" s="198">
        <f t="shared" si="2"/>
        <v>0</v>
      </c>
      <c r="I8" s="198">
        <f t="shared" si="2"/>
        <v>0</v>
      </c>
      <c r="J8" s="185">
        <f t="shared" si="2"/>
        <v>0</v>
      </c>
      <c r="K8" s="185">
        <f t="shared" si="2"/>
        <v>0</v>
      </c>
      <c r="L8" s="185">
        <f t="shared" si="2"/>
        <v>0</v>
      </c>
      <c r="M8" s="185">
        <f t="shared" si="2"/>
        <v>0</v>
      </c>
      <c r="N8" s="1"/>
    </row>
    <row r="9" spans="1:14" x14ac:dyDescent="0.2">
      <c r="A9" s="25" t="s">
        <v>64</v>
      </c>
      <c r="B9" s="307">
        <v>250</v>
      </c>
      <c r="C9" s="297">
        <f t="shared" ref="C9:M9" si="3">$B$9*((1+$B$6)^C2)</f>
        <v>250</v>
      </c>
      <c r="D9" s="176">
        <f t="shared" si="3"/>
        <v>255</v>
      </c>
      <c r="E9" s="176">
        <f t="shared" si="3"/>
        <v>260.10000000000002</v>
      </c>
      <c r="F9" s="176">
        <f t="shared" si="3"/>
        <v>265.30199999999996</v>
      </c>
      <c r="G9" s="202">
        <f t="shared" si="3"/>
        <v>270.60804000000002</v>
      </c>
      <c r="H9" s="202">
        <f t="shared" si="3"/>
        <v>276.0202008</v>
      </c>
      <c r="I9" s="202">
        <f t="shared" si="3"/>
        <v>281.54060481600004</v>
      </c>
      <c r="J9" s="189">
        <f t="shared" si="3"/>
        <v>287.17141691231996</v>
      </c>
      <c r="K9" s="189">
        <f t="shared" si="3"/>
        <v>292.91484525056637</v>
      </c>
      <c r="L9" s="189">
        <f t="shared" si="3"/>
        <v>298.77314215557772</v>
      </c>
      <c r="M9" s="189">
        <f t="shared" si="3"/>
        <v>304.7486049986893</v>
      </c>
      <c r="N9" s="1"/>
    </row>
    <row r="10" spans="1:14" ht="13.5" thickBot="1" x14ac:dyDescent="0.25">
      <c r="A10" s="36" t="s">
        <v>61</v>
      </c>
      <c r="B10" s="308">
        <v>1</v>
      </c>
      <c r="C10" s="323">
        <f>B10</f>
        <v>1</v>
      </c>
      <c r="D10" s="325">
        <f t="shared" ref="D10:M10" si="4">C10</f>
        <v>1</v>
      </c>
      <c r="E10" s="325">
        <f t="shared" si="4"/>
        <v>1</v>
      </c>
      <c r="F10" s="325">
        <f t="shared" si="4"/>
        <v>1</v>
      </c>
      <c r="G10" s="326">
        <f t="shared" si="4"/>
        <v>1</v>
      </c>
      <c r="H10" s="326">
        <f t="shared" si="4"/>
        <v>1</v>
      </c>
      <c r="I10" s="326">
        <f t="shared" si="4"/>
        <v>1</v>
      </c>
      <c r="J10" s="327">
        <f t="shared" si="4"/>
        <v>1</v>
      </c>
      <c r="K10" s="327">
        <f t="shared" si="4"/>
        <v>1</v>
      </c>
      <c r="L10" s="327">
        <f t="shared" si="4"/>
        <v>1</v>
      </c>
      <c r="M10" s="327">
        <f t="shared" si="4"/>
        <v>1</v>
      </c>
      <c r="N10" s="1"/>
    </row>
    <row r="11" spans="1:14" x14ac:dyDescent="0.2">
      <c r="A11" s="42" t="s">
        <v>0</v>
      </c>
      <c r="B11" s="328"/>
      <c r="C11" s="215"/>
      <c r="D11" s="177"/>
      <c r="E11" s="177"/>
      <c r="F11" s="177"/>
      <c r="G11" s="204"/>
      <c r="H11" s="204"/>
      <c r="I11" s="204"/>
      <c r="J11" s="191"/>
      <c r="K11" s="191"/>
      <c r="L11" s="191"/>
      <c r="M11" s="191"/>
      <c r="N11" s="1"/>
    </row>
    <row r="12" spans="1:14" x14ac:dyDescent="0.2">
      <c r="A12" s="25" t="s">
        <v>143</v>
      </c>
      <c r="B12" s="307"/>
      <c r="C12" s="216">
        <f>C9*C10*C8</f>
        <v>0</v>
      </c>
      <c r="D12" s="178">
        <f t="shared" ref="D12:M12" si="5">D9*D10*D8</f>
        <v>0</v>
      </c>
      <c r="E12" s="178">
        <f t="shared" si="5"/>
        <v>48968246.700000003</v>
      </c>
      <c r="F12" s="178">
        <f t="shared" si="5"/>
        <v>0</v>
      </c>
      <c r="G12" s="205">
        <f t="shared" si="5"/>
        <v>0</v>
      </c>
      <c r="H12" s="205">
        <f t="shared" si="5"/>
        <v>0</v>
      </c>
      <c r="I12" s="205">
        <f t="shared" si="5"/>
        <v>0</v>
      </c>
      <c r="J12" s="192">
        <f t="shared" si="5"/>
        <v>0</v>
      </c>
      <c r="K12" s="192">
        <f t="shared" si="5"/>
        <v>0</v>
      </c>
      <c r="L12" s="192">
        <f t="shared" si="5"/>
        <v>0</v>
      </c>
      <c r="M12" s="192">
        <f t="shared" si="5"/>
        <v>0</v>
      </c>
      <c r="N12" s="321">
        <f>SUM(C12:M12)</f>
        <v>48968246.700000003</v>
      </c>
    </row>
    <row r="13" spans="1:14" x14ac:dyDescent="0.2">
      <c r="A13" s="25" t="s">
        <v>62</v>
      </c>
      <c r="B13" s="311">
        <v>0.28000000000000003</v>
      </c>
      <c r="C13" s="216">
        <f>C12*(-$B$13)</f>
        <v>0</v>
      </c>
      <c r="D13" s="178">
        <f t="shared" ref="D13:M13" si="6">D12*(-$B$13)</f>
        <v>0</v>
      </c>
      <c r="E13" s="178">
        <f t="shared" si="6"/>
        <v>-13711109.076000001</v>
      </c>
      <c r="F13" s="178">
        <f t="shared" si="6"/>
        <v>0</v>
      </c>
      <c r="G13" s="205">
        <f t="shared" si="6"/>
        <v>0</v>
      </c>
      <c r="H13" s="205">
        <f t="shared" si="6"/>
        <v>0</v>
      </c>
      <c r="I13" s="205">
        <f t="shared" si="6"/>
        <v>0</v>
      </c>
      <c r="J13" s="192">
        <f t="shared" si="6"/>
        <v>0</v>
      </c>
      <c r="K13" s="192">
        <f t="shared" si="6"/>
        <v>0</v>
      </c>
      <c r="L13" s="192">
        <f t="shared" si="6"/>
        <v>0</v>
      </c>
      <c r="M13" s="192">
        <f t="shared" si="6"/>
        <v>0</v>
      </c>
      <c r="N13" s="321">
        <f>SUM(C13:M13)</f>
        <v>-13711109.076000001</v>
      </c>
    </row>
    <row r="14" spans="1:14" x14ac:dyDescent="0.2">
      <c r="A14" s="49" t="s">
        <v>5</v>
      </c>
      <c r="B14" s="630"/>
      <c r="C14" s="697">
        <f>SUM(C12:C13)</f>
        <v>0</v>
      </c>
      <c r="D14" s="698">
        <f t="shared" ref="D14:M14" si="7">SUM(D12:D13)</f>
        <v>0</v>
      </c>
      <c r="E14" s="698">
        <f t="shared" si="7"/>
        <v>35257137.623999998</v>
      </c>
      <c r="F14" s="698">
        <f t="shared" si="7"/>
        <v>0</v>
      </c>
      <c r="G14" s="699">
        <f t="shared" si="7"/>
        <v>0</v>
      </c>
      <c r="H14" s="699">
        <f t="shared" si="7"/>
        <v>0</v>
      </c>
      <c r="I14" s="699">
        <f t="shared" si="7"/>
        <v>0</v>
      </c>
      <c r="J14" s="700">
        <f t="shared" si="7"/>
        <v>0</v>
      </c>
      <c r="K14" s="700">
        <f t="shared" si="7"/>
        <v>0</v>
      </c>
      <c r="L14" s="700">
        <f t="shared" si="7"/>
        <v>0</v>
      </c>
      <c r="M14" s="700">
        <f t="shared" si="7"/>
        <v>0</v>
      </c>
      <c r="N14" s="321">
        <f>SUM(N12:N13)</f>
        <v>35257137.623999998</v>
      </c>
    </row>
    <row r="15" spans="1:14" x14ac:dyDescent="0.2">
      <c r="A15" s="42" t="s">
        <v>2</v>
      </c>
      <c r="B15" s="328"/>
      <c r="C15" s="215"/>
      <c r="D15" s="177"/>
      <c r="E15" s="177"/>
      <c r="F15" s="177"/>
      <c r="G15" s="204"/>
      <c r="H15" s="204"/>
      <c r="I15" s="204"/>
      <c r="J15" s="191"/>
      <c r="K15" s="191"/>
      <c r="L15" s="191"/>
      <c r="M15" s="191"/>
      <c r="N15" s="1"/>
    </row>
    <row r="16" spans="1:14" x14ac:dyDescent="0.2">
      <c r="A16" s="25" t="s">
        <v>14</v>
      </c>
      <c r="B16" s="307"/>
      <c r="C16" s="218">
        <f>C18/$N$18</f>
        <v>0</v>
      </c>
      <c r="D16" s="180">
        <f t="shared" ref="D16:M16" si="8">D18/$N$18</f>
        <v>0.49504950495049505</v>
      </c>
      <c r="E16" s="180">
        <f t="shared" si="8"/>
        <v>0.50495049504950495</v>
      </c>
      <c r="F16" s="180">
        <f t="shared" si="8"/>
        <v>0</v>
      </c>
      <c r="G16" s="207">
        <f t="shared" si="8"/>
        <v>0</v>
      </c>
      <c r="H16" s="207">
        <f t="shared" si="8"/>
        <v>0</v>
      </c>
      <c r="I16" s="207">
        <f t="shared" si="8"/>
        <v>0</v>
      </c>
      <c r="J16" s="194">
        <f t="shared" si="8"/>
        <v>0</v>
      </c>
      <c r="K16" s="194">
        <f t="shared" si="8"/>
        <v>0</v>
      </c>
      <c r="L16" s="194">
        <f t="shared" si="8"/>
        <v>0</v>
      </c>
      <c r="M16" s="194">
        <f t="shared" si="8"/>
        <v>0</v>
      </c>
      <c r="N16" s="1"/>
    </row>
    <row r="17" spans="1:14" x14ac:dyDescent="0.2">
      <c r="A17" s="25" t="s">
        <v>141</v>
      </c>
      <c r="B17" s="313">
        <v>250</v>
      </c>
      <c r="C17" s="299">
        <f t="shared" ref="C17:M17" si="9">$B$17*((1+$B$6)^C2)</f>
        <v>250</v>
      </c>
      <c r="D17" s="108">
        <f t="shared" si="9"/>
        <v>255</v>
      </c>
      <c r="E17" s="108">
        <f t="shared" si="9"/>
        <v>260.10000000000002</v>
      </c>
      <c r="F17" s="108">
        <f t="shared" si="9"/>
        <v>265.30199999999996</v>
      </c>
      <c r="G17" s="111">
        <f t="shared" si="9"/>
        <v>270.60804000000002</v>
      </c>
      <c r="H17" s="111">
        <f t="shared" si="9"/>
        <v>276.0202008</v>
      </c>
      <c r="I17" s="111">
        <f t="shared" si="9"/>
        <v>281.54060481600004</v>
      </c>
      <c r="J17" s="114">
        <f t="shared" si="9"/>
        <v>287.17141691231996</v>
      </c>
      <c r="K17" s="114">
        <f t="shared" si="9"/>
        <v>292.91484525056637</v>
      </c>
      <c r="L17" s="114">
        <f t="shared" si="9"/>
        <v>298.77314215557772</v>
      </c>
      <c r="M17" s="114">
        <f t="shared" si="9"/>
        <v>304.7486049986893</v>
      </c>
      <c r="N17" s="1"/>
    </row>
    <row r="18" spans="1:14" x14ac:dyDescent="0.2">
      <c r="A18" s="25" t="s">
        <v>2</v>
      </c>
      <c r="B18" s="313"/>
      <c r="C18" s="220">
        <f>C17*'Development Schedule'!D15</f>
        <v>0</v>
      </c>
      <c r="D18" s="182">
        <f>D17*'Development Schedule'!E15</f>
        <v>24004042.5</v>
      </c>
      <c r="E18" s="182">
        <f>E17*'Development Schedule'!F15</f>
        <v>24484123.350000001</v>
      </c>
      <c r="F18" s="107">
        <f>F17*'Development Schedule'!G15</f>
        <v>0</v>
      </c>
      <c r="G18" s="110">
        <f>G17*'Development Schedule'!H15</f>
        <v>0</v>
      </c>
      <c r="H18" s="110">
        <f>H17*'Development Schedule'!I15</f>
        <v>0</v>
      </c>
      <c r="I18" s="110">
        <f>I17*'Development Schedule'!J15</f>
        <v>0</v>
      </c>
      <c r="J18" s="113">
        <f>J17*'Development Schedule'!K15</f>
        <v>0</v>
      </c>
      <c r="K18" s="113">
        <f>K17*'Development Schedule'!L15</f>
        <v>0</v>
      </c>
      <c r="L18" s="113">
        <f>L17*'Development Schedule'!M15</f>
        <v>0</v>
      </c>
      <c r="M18" s="113">
        <f>M17*'Development Schedule'!N15</f>
        <v>0</v>
      </c>
      <c r="N18" s="1">
        <f>SUM(C18:M18)</f>
        <v>48488165.850000001</v>
      </c>
    </row>
    <row r="19" spans="1:14" x14ac:dyDescent="0.2">
      <c r="A19" s="25" t="s">
        <v>15</v>
      </c>
      <c r="B19" s="313"/>
      <c r="C19" s="220"/>
      <c r="D19" s="718"/>
      <c r="E19" s="718"/>
      <c r="F19" s="108"/>
      <c r="G19" s="111"/>
      <c r="H19" s="111"/>
      <c r="I19" s="111"/>
      <c r="J19" s="114"/>
      <c r="K19" s="114"/>
      <c r="L19" s="114"/>
      <c r="M19" s="114"/>
      <c r="N19" s="1"/>
    </row>
    <row r="20" spans="1:14" x14ac:dyDescent="0.2">
      <c r="A20" s="49" t="s">
        <v>3</v>
      </c>
      <c r="B20" s="635"/>
      <c r="C20" s="636">
        <f>C18</f>
        <v>0</v>
      </c>
      <c r="D20" s="632">
        <f>SUM(D18:D19)</f>
        <v>24004042.5</v>
      </c>
      <c r="E20" s="632">
        <f t="shared" ref="E20:M20" si="10">SUM(E18:E19)</f>
        <v>24484123.350000001</v>
      </c>
      <c r="F20" s="637">
        <f t="shared" si="10"/>
        <v>0</v>
      </c>
      <c r="G20" s="638">
        <f t="shared" si="10"/>
        <v>0</v>
      </c>
      <c r="H20" s="638">
        <f t="shared" si="10"/>
        <v>0</v>
      </c>
      <c r="I20" s="638">
        <f t="shared" si="10"/>
        <v>0</v>
      </c>
      <c r="J20" s="639">
        <f t="shared" si="10"/>
        <v>0</v>
      </c>
      <c r="K20" s="639">
        <f t="shared" si="10"/>
        <v>0</v>
      </c>
      <c r="L20" s="639">
        <f t="shared" si="10"/>
        <v>0</v>
      </c>
      <c r="M20" s="639">
        <f t="shared" si="10"/>
        <v>0</v>
      </c>
      <c r="N20" s="1"/>
    </row>
    <row r="21" spans="1:14" x14ac:dyDescent="0.2">
      <c r="A21" s="42" t="s">
        <v>4</v>
      </c>
      <c r="B21" s="328"/>
      <c r="C21" s="215"/>
      <c r="D21" s="177"/>
      <c r="E21" s="177"/>
      <c r="F21" s="177"/>
      <c r="G21" s="204"/>
      <c r="H21" s="204"/>
      <c r="I21" s="204"/>
      <c r="J21" s="191"/>
      <c r="K21" s="191"/>
      <c r="L21" s="191"/>
      <c r="M21" s="191"/>
      <c r="N21" s="1"/>
    </row>
    <row r="22" spans="1:14" x14ac:dyDescent="0.2">
      <c r="A22" s="25" t="s">
        <v>5</v>
      </c>
      <c r="B22" s="307"/>
      <c r="C22" s="220">
        <f>C14</f>
        <v>0</v>
      </c>
      <c r="D22" s="182">
        <f t="shared" ref="D22:M22" si="11">D14</f>
        <v>0</v>
      </c>
      <c r="E22" s="182">
        <f t="shared" si="11"/>
        <v>35257137.623999998</v>
      </c>
      <c r="F22" s="182">
        <f t="shared" si="11"/>
        <v>0</v>
      </c>
      <c r="G22" s="209">
        <f t="shared" si="11"/>
        <v>0</v>
      </c>
      <c r="H22" s="209">
        <f t="shared" si="11"/>
        <v>0</v>
      </c>
      <c r="I22" s="209">
        <f t="shared" si="11"/>
        <v>0</v>
      </c>
      <c r="J22" s="196">
        <f t="shared" si="11"/>
        <v>0</v>
      </c>
      <c r="K22" s="196">
        <f t="shared" si="11"/>
        <v>0</v>
      </c>
      <c r="L22" s="196">
        <f t="shared" si="11"/>
        <v>0</v>
      </c>
      <c r="M22" s="196">
        <f t="shared" si="11"/>
        <v>0</v>
      </c>
      <c r="N22" s="1"/>
    </row>
    <row r="23" spans="1:14" x14ac:dyDescent="0.2">
      <c r="A23" s="159" t="s">
        <v>102</v>
      </c>
      <c r="B23" s="316">
        <v>7.0000000000000007E-2</v>
      </c>
      <c r="C23" s="221">
        <f>C22/$B$23</f>
        <v>0</v>
      </c>
      <c r="D23" s="183"/>
      <c r="E23" s="183"/>
      <c r="F23" s="183">
        <f t="shared" ref="F23:I23" si="12">F22/$B$23</f>
        <v>0</v>
      </c>
      <c r="G23" s="210"/>
      <c r="H23" s="210"/>
      <c r="I23" s="210">
        <f t="shared" si="12"/>
        <v>0</v>
      </c>
      <c r="J23" s="197"/>
      <c r="K23" s="197"/>
      <c r="L23" s="197">
        <f t="shared" ref="L23" si="13">L22/$B$23</f>
        <v>0</v>
      </c>
      <c r="M23" s="197">
        <f>N14/$B$23</f>
        <v>503673394.62857133</v>
      </c>
      <c r="N23" s="1"/>
    </row>
    <row r="24" spans="1:14" x14ac:dyDescent="0.2">
      <c r="A24" s="159" t="s">
        <v>103</v>
      </c>
      <c r="B24" s="317">
        <v>0.05</v>
      </c>
      <c r="C24" s="222">
        <f>C23*(-$B$24)</f>
        <v>0</v>
      </c>
      <c r="D24" s="183">
        <f t="shared" ref="D24:M24" si="14">D23*(-$B$24)</f>
        <v>0</v>
      </c>
      <c r="E24" s="183">
        <f t="shared" si="14"/>
        <v>0</v>
      </c>
      <c r="F24" s="183">
        <f t="shared" si="14"/>
        <v>0</v>
      </c>
      <c r="G24" s="210">
        <f t="shared" si="14"/>
        <v>0</v>
      </c>
      <c r="H24" s="210">
        <f t="shared" si="14"/>
        <v>0</v>
      </c>
      <c r="I24" s="210">
        <f t="shared" si="14"/>
        <v>0</v>
      </c>
      <c r="J24" s="197">
        <f t="shared" si="14"/>
        <v>0</v>
      </c>
      <c r="K24" s="197">
        <f t="shared" si="14"/>
        <v>0</v>
      </c>
      <c r="L24" s="197">
        <f t="shared" si="14"/>
        <v>0</v>
      </c>
      <c r="M24" s="197">
        <f t="shared" si="14"/>
        <v>-25183669.731428567</v>
      </c>
      <c r="N24" s="1"/>
    </row>
    <row r="25" spans="1:14" x14ac:dyDescent="0.2">
      <c r="A25" s="49" t="s">
        <v>3</v>
      </c>
      <c r="B25" s="329"/>
      <c r="C25" s="219">
        <f>C20</f>
        <v>0</v>
      </c>
      <c r="D25" s="280">
        <f>-D20</f>
        <v>-24004042.5</v>
      </c>
      <c r="E25" s="280">
        <f t="shared" ref="E25:M25" si="15">-E20</f>
        <v>-24484123.350000001</v>
      </c>
      <c r="F25" s="280">
        <f t="shared" si="15"/>
        <v>0</v>
      </c>
      <c r="G25" s="286">
        <f t="shared" si="15"/>
        <v>0</v>
      </c>
      <c r="H25" s="286">
        <f t="shared" si="15"/>
        <v>0</v>
      </c>
      <c r="I25" s="286">
        <f t="shared" si="15"/>
        <v>0</v>
      </c>
      <c r="J25" s="292">
        <f t="shared" si="15"/>
        <v>0</v>
      </c>
      <c r="K25" s="292">
        <f t="shared" si="15"/>
        <v>0</v>
      </c>
      <c r="L25" s="292">
        <f t="shared" si="15"/>
        <v>0</v>
      </c>
      <c r="M25" s="292">
        <f t="shared" si="15"/>
        <v>0</v>
      </c>
      <c r="N25" s="1"/>
    </row>
    <row r="26" spans="1:14" x14ac:dyDescent="0.2">
      <c r="A26" s="160" t="s">
        <v>6</v>
      </c>
      <c r="B26" s="330"/>
      <c r="C26" s="301">
        <f>SUM(C22:C25)</f>
        <v>0</v>
      </c>
      <c r="D26" s="281">
        <f t="shared" ref="D26:M26" si="16">SUM(D22:D25)</f>
        <v>-24004042.5</v>
      </c>
      <c r="E26" s="281">
        <f t="shared" si="16"/>
        <v>10773014.273999996</v>
      </c>
      <c r="F26" s="281">
        <f t="shared" si="16"/>
        <v>0</v>
      </c>
      <c r="G26" s="287">
        <f t="shared" si="16"/>
        <v>0</v>
      </c>
      <c r="H26" s="287">
        <f t="shared" si="16"/>
        <v>0</v>
      </c>
      <c r="I26" s="287">
        <f t="shared" si="16"/>
        <v>0</v>
      </c>
      <c r="J26" s="293">
        <f t="shared" si="16"/>
        <v>0</v>
      </c>
      <c r="K26" s="293">
        <f t="shared" si="16"/>
        <v>0</v>
      </c>
      <c r="L26" s="293">
        <f t="shared" si="16"/>
        <v>0</v>
      </c>
      <c r="M26" s="293">
        <f t="shared" si="16"/>
        <v>478489724.89714277</v>
      </c>
      <c r="N26" s="1"/>
    </row>
    <row r="27" spans="1:14" x14ac:dyDescent="0.2">
      <c r="A27" s="161" t="s">
        <v>39</v>
      </c>
      <c r="B27" s="304">
        <v>0.1</v>
      </c>
      <c r="C27" s="696">
        <f>C26+(NPV(B27,D26:M26))</f>
        <v>171559963.25871232</v>
      </c>
      <c r="D27" s="173"/>
      <c r="E27" s="173"/>
      <c r="F27" s="173"/>
      <c r="G27" s="199"/>
      <c r="H27" s="199"/>
      <c r="I27" s="199"/>
      <c r="J27" s="186"/>
      <c r="K27" s="186"/>
      <c r="L27" s="186"/>
      <c r="M27" s="186"/>
      <c r="N27" s="1"/>
    </row>
    <row r="28" spans="1:14" x14ac:dyDescent="0.2">
      <c r="A28" s="50" t="s">
        <v>105</v>
      </c>
      <c r="B28" s="329"/>
      <c r="C28" s="695">
        <f>IRR(C26:M26)</f>
        <v>0.4528736078552007</v>
      </c>
      <c r="D28" s="181"/>
      <c r="E28" s="181"/>
      <c r="F28" s="181"/>
      <c r="G28" s="208"/>
      <c r="H28" s="208"/>
      <c r="I28" s="208"/>
      <c r="J28" s="195"/>
      <c r="K28" s="195"/>
      <c r="L28" s="195"/>
      <c r="M28" s="195"/>
      <c r="N28" s="1"/>
    </row>
    <row r="29" spans="1:14" x14ac:dyDescent="0.2">
      <c r="A29" s="50" t="s">
        <v>90</v>
      </c>
      <c r="B29" s="329"/>
      <c r="C29" s="219"/>
      <c r="D29" s="181"/>
      <c r="E29" s="181"/>
      <c r="F29" s="181"/>
      <c r="G29" s="208"/>
      <c r="H29" s="208"/>
      <c r="I29" s="208"/>
      <c r="J29" s="195"/>
      <c r="K29" s="195"/>
      <c r="L29" s="195"/>
      <c r="M29" s="195"/>
      <c r="N29" s="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K40" sqref="K40"/>
    </sheetView>
  </sheetViews>
  <sheetFormatPr defaultColWidth="11.42578125" defaultRowHeight="12.75" x14ac:dyDescent="0.2"/>
  <cols>
    <col min="1" max="13" width="14.7109375" customWidth="1"/>
  </cols>
  <sheetData>
    <row r="1" spans="1:14" x14ac:dyDescent="0.2">
      <c r="A1" s="38" t="s">
        <v>71</v>
      </c>
      <c r="B1" s="39">
        <v>198923</v>
      </c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3.5" thickBot="1" x14ac:dyDescent="0.25">
      <c r="A2" s="1"/>
      <c r="B2" s="48"/>
      <c r="C2" s="48">
        <v>0</v>
      </c>
      <c r="D2" s="46">
        <v>1</v>
      </c>
      <c r="E2" s="48">
        <v>2</v>
      </c>
      <c r="F2" s="46">
        <v>3</v>
      </c>
      <c r="G2" s="48">
        <v>4</v>
      </c>
      <c r="H2" s="46">
        <v>5</v>
      </c>
      <c r="I2" s="48">
        <v>6</v>
      </c>
      <c r="J2" s="46">
        <v>7</v>
      </c>
      <c r="K2" s="48">
        <v>8</v>
      </c>
      <c r="L2" s="46">
        <v>9</v>
      </c>
      <c r="M2" s="48">
        <v>10</v>
      </c>
      <c r="N2" s="1"/>
    </row>
    <row r="3" spans="1:14" x14ac:dyDescent="0.2">
      <c r="A3" s="1"/>
      <c r="B3" s="137"/>
      <c r="C3" s="126" t="s">
        <v>100</v>
      </c>
      <c r="D3" s="127" t="s">
        <v>56</v>
      </c>
      <c r="E3" s="128"/>
      <c r="F3" s="127"/>
      <c r="G3" s="127" t="s">
        <v>124</v>
      </c>
      <c r="H3" s="127"/>
      <c r="I3" s="127"/>
      <c r="J3" s="127" t="s">
        <v>125</v>
      </c>
      <c r="K3" s="127"/>
      <c r="L3" s="127"/>
      <c r="M3" s="129"/>
      <c r="N3" s="1"/>
    </row>
    <row r="4" spans="1:14" x14ac:dyDescent="0.2">
      <c r="A4" s="5"/>
      <c r="B4" s="147" t="s">
        <v>28</v>
      </c>
      <c r="C4" s="148" t="s">
        <v>118</v>
      </c>
      <c r="D4" s="149">
        <v>2021</v>
      </c>
      <c r="E4" s="106">
        <f>D4+1</f>
        <v>2022</v>
      </c>
      <c r="F4" s="106">
        <f t="shared" ref="F4:M4" si="0">E4+1</f>
        <v>2023</v>
      </c>
      <c r="G4" s="106">
        <f t="shared" si="0"/>
        <v>2024</v>
      </c>
      <c r="H4" s="106">
        <f t="shared" si="0"/>
        <v>2025</v>
      </c>
      <c r="I4" s="106">
        <f t="shared" si="0"/>
        <v>2026</v>
      </c>
      <c r="J4" s="106">
        <f t="shared" si="0"/>
        <v>2027</v>
      </c>
      <c r="K4" s="106">
        <f t="shared" si="0"/>
        <v>2028</v>
      </c>
      <c r="L4" s="106">
        <f t="shared" si="0"/>
        <v>2029</v>
      </c>
      <c r="M4" s="150">
        <f t="shared" si="0"/>
        <v>2030</v>
      </c>
      <c r="N4" s="1" t="s">
        <v>243</v>
      </c>
    </row>
    <row r="5" spans="1:14" x14ac:dyDescent="0.2">
      <c r="A5" s="42" t="s">
        <v>11</v>
      </c>
      <c r="B5" s="303"/>
      <c r="C5" s="211"/>
      <c r="D5" s="276"/>
      <c r="E5" s="276"/>
      <c r="F5" s="276"/>
      <c r="G5" s="282"/>
      <c r="H5" s="282"/>
      <c r="I5" s="282"/>
      <c r="J5" s="288"/>
      <c r="K5" s="288"/>
      <c r="L5" s="288"/>
      <c r="M5" s="288"/>
      <c r="N5" s="1"/>
    </row>
    <row r="6" spans="1:14" x14ac:dyDescent="0.2">
      <c r="A6" s="25" t="s">
        <v>12</v>
      </c>
      <c r="B6" s="304">
        <v>0.02</v>
      </c>
      <c r="C6" s="294">
        <f>1+B6</f>
        <v>1.02</v>
      </c>
      <c r="D6" s="277">
        <f>C6*(1+$B$6)</f>
        <v>1.0404</v>
      </c>
      <c r="E6" s="277">
        <f t="shared" ref="E6:M6" si="1">D6*(1+$B$6)</f>
        <v>1.0612079999999999</v>
      </c>
      <c r="F6" s="277">
        <f t="shared" si="1"/>
        <v>1.08243216</v>
      </c>
      <c r="G6" s="283">
        <f t="shared" si="1"/>
        <v>1.1040808032</v>
      </c>
      <c r="H6" s="283">
        <f t="shared" si="1"/>
        <v>1.1261624192640001</v>
      </c>
      <c r="I6" s="283">
        <f t="shared" si="1"/>
        <v>1.14868566764928</v>
      </c>
      <c r="J6" s="289">
        <f t="shared" si="1"/>
        <v>1.1716593810022657</v>
      </c>
      <c r="K6" s="289">
        <f t="shared" si="1"/>
        <v>1.1950925686223111</v>
      </c>
      <c r="L6" s="289">
        <f t="shared" si="1"/>
        <v>1.2189944199947573</v>
      </c>
      <c r="M6" s="289">
        <f t="shared" si="1"/>
        <v>1.2433743083946525</v>
      </c>
      <c r="N6" s="1"/>
    </row>
    <row r="7" spans="1:14" x14ac:dyDescent="0.2">
      <c r="A7" s="25" t="s">
        <v>116</v>
      </c>
      <c r="B7" s="319"/>
      <c r="C7" s="295">
        <f>'Development Schedule'!D16</f>
        <v>0</v>
      </c>
      <c r="D7" s="278">
        <f>'Development Schedule'!E16</f>
        <v>0</v>
      </c>
      <c r="E7" s="278">
        <f>'Development Schedule'!F16</f>
        <v>0</v>
      </c>
      <c r="F7" s="278">
        <f>'Development Schedule'!G16</f>
        <v>0</v>
      </c>
      <c r="G7" s="284">
        <f>'Development Schedule'!H16</f>
        <v>0</v>
      </c>
      <c r="H7" s="284">
        <f>'Development Schedule'!I16</f>
        <v>0</v>
      </c>
      <c r="I7" s="284">
        <f>'Development Schedule'!J16</f>
        <v>0</v>
      </c>
      <c r="J7" s="290">
        <f>'Development Schedule'!K16</f>
        <v>29986</v>
      </c>
      <c r="K7" s="290">
        <f>'Development Schedule'!L16</f>
        <v>29986</v>
      </c>
      <c r="L7" s="290">
        <f>'Development Schedule'!M16</f>
        <v>0</v>
      </c>
      <c r="M7" s="290">
        <f>'Development Schedule'!N16</f>
        <v>0</v>
      </c>
      <c r="N7" s="1"/>
    </row>
    <row r="8" spans="1:14" x14ac:dyDescent="0.2">
      <c r="A8" s="25" t="s">
        <v>245</v>
      </c>
      <c r="B8" s="320"/>
      <c r="C8" s="322"/>
      <c r="D8" s="172">
        <v>0</v>
      </c>
      <c r="E8" s="172">
        <v>0</v>
      </c>
      <c r="F8" s="172">
        <f t="shared" ref="F8:M8" si="2">F7*$B$10</f>
        <v>0</v>
      </c>
      <c r="G8" s="198">
        <f t="shared" si="2"/>
        <v>0</v>
      </c>
      <c r="H8" s="198">
        <f t="shared" si="2"/>
        <v>0</v>
      </c>
      <c r="I8" s="198">
        <f t="shared" si="2"/>
        <v>0</v>
      </c>
      <c r="J8" s="185">
        <f t="shared" si="2"/>
        <v>29986</v>
      </c>
      <c r="K8" s="185">
        <f t="shared" si="2"/>
        <v>29986</v>
      </c>
      <c r="L8" s="185">
        <f t="shared" si="2"/>
        <v>0</v>
      </c>
      <c r="M8" s="185">
        <f t="shared" si="2"/>
        <v>0</v>
      </c>
      <c r="N8" s="1"/>
    </row>
    <row r="9" spans="1:14" x14ac:dyDescent="0.2">
      <c r="A9" s="25" t="s">
        <v>64</v>
      </c>
      <c r="B9" s="307">
        <v>250</v>
      </c>
      <c r="C9" s="297">
        <f t="shared" ref="C9:M9" si="3">$B$9*((1+$B$6)^C2)</f>
        <v>250</v>
      </c>
      <c r="D9" s="176">
        <f t="shared" si="3"/>
        <v>255</v>
      </c>
      <c r="E9" s="176">
        <f t="shared" si="3"/>
        <v>260.10000000000002</v>
      </c>
      <c r="F9" s="176">
        <f t="shared" si="3"/>
        <v>265.30199999999996</v>
      </c>
      <c r="G9" s="202">
        <f t="shared" si="3"/>
        <v>270.60804000000002</v>
      </c>
      <c r="H9" s="202">
        <f t="shared" si="3"/>
        <v>276.0202008</v>
      </c>
      <c r="I9" s="202">
        <f t="shared" si="3"/>
        <v>281.54060481600004</v>
      </c>
      <c r="J9" s="189">
        <f t="shared" si="3"/>
        <v>287.17141691231996</v>
      </c>
      <c r="K9" s="189">
        <f t="shared" si="3"/>
        <v>292.91484525056637</v>
      </c>
      <c r="L9" s="189">
        <f t="shared" si="3"/>
        <v>298.77314215557772</v>
      </c>
      <c r="M9" s="189">
        <f t="shared" si="3"/>
        <v>304.7486049986893</v>
      </c>
      <c r="N9" s="1"/>
    </row>
    <row r="10" spans="1:14" ht="13.5" thickBot="1" x14ac:dyDescent="0.25">
      <c r="A10" s="36" t="s">
        <v>61</v>
      </c>
      <c r="B10" s="308">
        <v>1</v>
      </c>
      <c r="C10" s="323">
        <f>B10</f>
        <v>1</v>
      </c>
      <c r="D10" s="325">
        <f t="shared" ref="D10:M10" si="4">C10</f>
        <v>1</v>
      </c>
      <c r="E10" s="325">
        <f t="shared" si="4"/>
        <v>1</v>
      </c>
      <c r="F10" s="325">
        <f t="shared" si="4"/>
        <v>1</v>
      </c>
      <c r="G10" s="326">
        <f t="shared" si="4"/>
        <v>1</v>
      </c>
      <c r="H10" s="326">
        <f t="shared" si="4"/>
        <v>1</v>
      </c>
      <c r="I10" s="326">
        <f t="shared" si="4"/>
        <v>1</v>
      </c>
      <c r="J10" s="327">
        <f t="shared" si="4"/>
        <v>1</v>
      </c>
      <c r="K10" s="327">
        <f t="shared" si="4"/>
        <v>1</v>
      </c>
      <c r="L10" s="327">
        <f t="shared" si="4"/>
        <v>1</v>
      </c>
      <c r="M10" s="327">
        <f t="shared" si="4"/>
        <v>1</v>
      </c>
      <c r="N10" s="1"/>
    </row>
    <row r="11" spans="1:14" x14ac:dyDescent="0.2">
      <c r="A11" s="42" t="s">
        <v>0</v>
      </c>
      <c r="B11" s="328"/>
      <c r="C11" s="215"/>
      <c r="D11" s="177"/>
      <c r="E11" s="177"/>
      <c r="F11" s="177"/>
      <c r="G11" s="204"/>
      <c r="H11" s="204"/>
      <c r="I11" s="204"/>
      <c r="J11" s="191"/>
      <c r="K11" s="191"/>
      <c r="L11" s="191"/>
      <c r="M11" s="191"/>
      <c r="N11" s="1"/>
    </row>
    <row r="12" spans="1:14" x14ac:dyDescent="0.2">
      <c r="A12" s="25" t="s">
        <v>143</v>
      </c>
      <c r="B12" s="307"/>
      <c r="C12" s="216">
        <f>C9*C10*C8</f>
        <v>0</v>
      </c>
      <c r="D12" s="178">
        <f t="shared" ref="D12:M12" si="5">D9*D10*D8</f>
        <v>0</v>
      </c>
      <c r="E12" s="178">
        <f t="shared" si="5"/>
        <v>0</v>
      </c>
      <c r="F12" s="178">
        <f t="shared" si="5"/>
        <v>0</v>
      </c>
      <c r="G12" s="205">
        <f t="shared" si="5"/>
        <v>0</v>
      </c>
      <c r="H12" s="205">
        <f t="shared" si="5"/>
        <v>0</v>
      </c>
      <c r="I12" s="205">
        <f t="shared" si="5"/>
        <v>0</v>
      </c>
      <c r="J12" s="351">
        <f t="shared" si="5"/>
        <v>8611122.1075328253</v>
      </c>
      <c r="K12" s="351">
        <f t="shared" si="5"/>
        <v>8783344.5496834833</v>
      </c>
      <c r="L12" s="192">
        <f t="shared" si="5"/>
        <v>0</v>
      </c>
      <c r="M12" s="192">
        <f t="shared" si="5"/>
        <v>0</v>
      </c>
      <c r="N12" s="321">
        <f>SUM(C12:M12)</f>
        <v>17394466.657216311</v>
      </c>
    </row>
    <row r="13" spans="1:14" x14ac:dyDescent="0.2">
      <c r="A13" s="25" t="s">
        <v>62</v>
      </c>
      <c r="B13" s="311">
        <v>0.28000000000000003</v>
      </c>
      <c r="C13" s="216">
        <f>C12*(-$B$13)</f>
        <v>0</v>
      </c>
      <c r="D13" s="178">
        <f t="shared" ref="D13:M13" si="6">D12*(-$B$13)</f>
        <v>0</v>
      </c>
      <c r="E13" s="178">
        <f t="shared" si="6"/>
        <v>0</v>
      </c>
      <c r="F13" s="178">
        <f t="shared" si="6"/>
        <v>0</v>
      </c>
      <c r="G13" s="205">
        <f t="shared" si="6"/>
        <v>0</v>
      </c>
      <c r="H13" s="205">
        <f t="shared" si="6"/>
        <v>0</v>
      </c>
      <c r="I13" s="205">
        <f t="shared" si="6"/>
        <v>0</v>
      </c>
      <c r="J13" s="351">
        <f t="shared" si="6"/>
        <v>-2411114.1901091915</v>
      </c>
      <c r="K13" s="351">
        <f t="shared" si="6"/>
        <v>-2459336.4739113757</v>
      </c>
      <c r="L13" s="192">
        <f t="shared" si="6"/>
        <v>0</v>
      </c>
      <c r="M13" s="192">
        <f t="shared" si="6"/>
        <v>0</v>
      </c>
      <c r="N13" s="321">
        <f>SUM(C13:M13)</f>
        <v>-4870450.6640205672</v>
      </c>
    </row>
    <row r="14" spans="1:14" x14ac:dyDescent="0.2">
      <c r="A14" s="49" t="s">
        <v>5</v>
      </c>
      <c r="B14" s="329"/>
      <c r="C14" s="217">
        <f>SUM(C12:C13)</f>
        <v>0</v>
      </c>
      <c r="D14" s="179">
        <f t="shared" ref="D14:M14" si="7">SUM(D12:D13)</f>
        <v>0</v>
      </c>
      <c r="E14" s="179">
        <f t="shared" si="7"/>
        <v>0</v>
      </c>
      <c r="F14" s="179">
        <f t="shared" si="7"/>
        <v>0</v>
      </c>
      <c r="G14" s="206">
        <f t="shared" si="7"/>
        <v>0</v>
      </c>
      <c r="H14" s="206">
        <f t="shared" si="7"/>
        <v>0</v>
      </c>
      <c r="I14" s="206">
        <f t="shared" si="7"/>
        <v>0</v>
      </c>
      <c r="J14" s="740">
        <f t="shared" si="7"/>
        <v>6200007.9174236339</v>
      </c>
      <c r="K14" s="740">
        <f t="shared" si="7"/>
        <v>6324008.0757721076</v>
      </c>
      <c r="L14" s="193">
        <f t="shared" si="7"/>
        <v>0</v>
      </c>
      <c r="M14" s="193">
        <f t="shared" si="7"/>
        <v>0</v>
      </c>
      <c r="N14" s="321">
        <f>SUM(N12:N13)</f>
        <v>12524015.993195742</v>
      </c>
    </row>
    <row r="15" spans="1:14" x14ac:dyDescent="0.2">
      <c r="A15" s="42" t="s">
        <v>2</v>
      </c>
      <c r="B15" s="328"/>
      <c r="C15" s="215"/>
      <c r="D15" s="177"/>
      <c r="E15" s="177"/>
      <c r="F15" s="177"/>
      <c r="G15" s="204"/>
      <c r="H15" s="204"/>
      <c r="I15" s="204"/>
      <c r="J15" s="191"/>
      <c r="K15" s="191"/>
      <c r="L15" s="191"/>
      <c r="M15" s="191"/>
      <c r="N15" s="1"/>
    </row>
    <row r="16" spans="1:14" x14ac:dyDescent="0.2">
      <c r="A16" s="25" t="s">
        <v>14</v>
      </c>
      <c r="B16" s="307"/>
      <c r="C16" s="218">
        <f>C18/$N$18</f>
        <v>0</v>
      </c>
      <c r="D16" s="180">
        <f t="shared" ref="D16:M16" si="8">D18/$N$18</f>
        <v>0</v>
      </c>
      <c r="E16" s="180">
        <f t="shared" si="8"/>
        <v>0</v>
      </c>
      <c r="F16" s="180">
        <f t="shared" si="8"/>
        <v>0</v>
      </c>
      <c r="G16" s="207">
        <f t="shared" si="8"/>
        <v>0</v>
      </c>
      <c r="H16" s="207">
        <f t="shared" si="8"/>
        <v>0</v>
      </c>
      <c r="I16" s="207">
        <f t="shared" si="8"/>
        <v>0</v>
      </c>
      <c r="J16" s="194">
        <f t="shared" si="8"/>
        <v>0.49504950495049493</v>
      </c>
      <c r="K16" s="194">
        <f t="shared" si="8"/>
        <v>0.50495049504950495</v>
      </c>
      <c r="L16" s="194">
        <f t="shared" si="8"/>
        <v>0</v>
      </c>
      <c r="M16" s="194">
        <f t="shared" si="8"/>
        <v>0</v>
      </c>
      <c r="N16" s="1"/>
    </row>
    <row r="17" spans="1:14" x14ac:dyDescent="0.2">
      <c r="A17" s="25" t="s">
        <v>141</v>
      </c>
      <c r="B17" s="313">
        <v>250</v>
      </c>
      <c r="C17" s="299">
        <f t="shared" ref="C17:M17" si="9">$B$17*((1+$B$6)^C2)</f>
        <v>250</v>
      </c>
      <c r="D17" s="108">
        <f t="shared" si="9"/>
        <v>255</v>
      </c>
      <c r="E17" s="108">
        <f t="shared" si="9"/>
        <v>260.10000000000002</v>
      </c>
      <c r="F17" s="108">
        <f t="shared" si="9"/>
        <v>265.30199999999996</v>
      </c>
      <c r="G17" s="111">
        <f t="shared" si="9"/>
        <v>270.60804000000002</v>
      </c>
      <c r="H17" s="111">
        <f t="shared" si="9"/>
        <v>276.0202008</v>
      </c>
      <c r="I17" s="111">
        <f t="shared" si="9"/>
        <v>281.54060481600004</v>
      </c>
      <c r="J17" s="114">
        <f t="shared" si="9"/>
        <v>287.17141691231996</v>
      </c>
      <c r="K17" s="114">
        <f t="shared" si="9"/>
        <v>292.91484525056637</v>
      </c>
      <c r="L17" s="114">
        <f t="shared" si="9"/>
        <v>298.77314215557772</v>
      </c>
      <c r="M17" s="114">
        <f t="shared" si="9"/>
        <v>304.7486049986893</v>
      </c>
      <c r="N17" s="1"/>
    </row>
    <row r="18" spans="1:14" x14ac:dyDescent="0.2">
      <c r="A18" s="25" t="s">
        <v>2</v>
      </c>
      <c r="B18" s="313"/>
      <c r="C18" s="220">
        <f>C17*'Development Schedule'!D16</f>
        <v>0</v>
      </c>
      <c r="D18" s="107">
        <f>D17*'Development Schedule'!E16</f>
        <v>0</v>
      </c>
      <c r="E18" s="107">
        <f>E17*'Development Schedule'!F16</f>
        <v>0</v>
      </c>
      <c r="F18" s="107">
        <f>F17*'Development Schedule'!G16</f>
        <v>0</v>
      </c>
      <c r="G18" s="110">
        <f>G17*'Development Schedule'!H16</f>
        <v>0</v>
      </c>
      <c r="H18" s="110">
        <f>H17*'Development Schedule'!I16</f>
        <v>0</v>
      </c>
      <c r="I18" s="110">
        <f>I17*'Development Schedule'!J16</f>
        <v>0</v>
      </c>
      <c r="J18" s="196">
        <f>J17*'Development Schedule'!K16</f>
        <v>8611122.1075328253</v>
      </c>
      <c r="K18" s="196">
        <f>K17*'Development Schedule'!L16</f>
        <v>8783344.5496834833</v>
      </c>
      <c r="L18" s="113">
        <f>L17*'Development Schedule'!M16</f>
        <v>0</v>
      </c>
      <c r="M18" s="113">
        <f>M17*'Development Schedule'!N16</f>
        <v>0</v>
      </c>
      <c r="N18" s="1">
        <f>SUM(C18:M18)</f>
        <v>17394466.657216311</v>
      </c>
    </row>
    <row r="19" spans="1:14" x14ac:dyDescent="0.2">
      <c r="A19" s="25" t="s">
        <v>15</v>
      </c>
      <c r="B19" s="313"/>
      <c r="C19" s="220"/>
      <c r="D19" s="108"/>
      <c r="E19" s="108"/>
      <c r="F19" s="108"/>
      <c r="G19" s="111"/>
      <c r="H19" s="111"/>
      <c r="I19" s="111"/>
      <c r="J19" s="694"/>
      <c r="K19" s="694"/>
      <c r="L19" s="114"/>
      <c r="M19" s="114"/>
      <c r="N19" s="1"/>
    </row>
    <row r="20" spans="1:14" x14ac:dyDescent="0.2">
      <c r="A20" s="49" t="s">
        <v>3</v>
      </c>
      <c r="B20" s="635"/>
      <c r="C20" s="636">
        <f>C18</f>
        <v>0</v>
      </c>
      <c r="D20" s="637">
        <f>SUM(D18:D19)</f>
        <v>0</v>
      </c>
      <c r="E20" s="637">
        <f t="shared" ref="E20:M20" si="10">SUM(E18:E19)</f>
        <v>0</v>
      </c>
      <c r="F20" s="637">
        <f t="shared" si="10"/>
        <v>0</v>
      </c>
      <c r="G20" s="638">
        <f t="shared" si="10"/>
        <v>0</v>
      </c>
      <c r="H20" s="638">
        <f t="shared" si="10"/>
        <v>0</v>
      </c>
      <c r="I20" s="638">
        <f t="shared" si="10"/>
        <v>0</v>
      </c>
      <c r="J20" s="634">
        <f t="shared" si="10"/>
        <v>8611122.1075328253</v>
      </c>
      <c r="K20" s="634">
        <f t="shared" si="10"/>
        <v>8783344.5496834833</v>
      </c>
      <c r="L20" s="639">
        <f t="shared" si="10"/>
        <v>0</v>
      </c>
      <c r="M20" s="639">
        <f t="shared" si="10"/>
        <v>0</v>
      </c>
      <c r="N20" s="1"/>
    </row>
    <row r="21" spans="1:14" x14ac:dyDescent="0.2">
      <c r="A21" s="42" t="s">
        <v>4</v>
      </c>
      <c r="B21" s="328"/>
      <c r="C21" s="215"/>
      <c r="D21" s="177"/>
      <c r="E21" s="177"/>
      <c r="F21" s="177"/>
      <c r="G21" s="204"/>
      <c r="H21" s="204"/>
      <c r="I21" s="204"/>
      <c r="J21" s="191"/>
      <c r="K21" s="191"/>
      <c r="L21" s="191"/>
      <c r="M21" s="191"/>
      <c r="N21" s="1"/>
    </row>
    <row r="22" spans="1:14" x14ac:dyDescent="0.2">
      <c r="A22" s="25" t="s">
        <v>5</v>
      </c>
      <c r="B22" s="307"/>
      <c r="C22" s="220">
        <f>C14</f>
        <v>0</v>
      </c>
      <c r="D22" s="182">
        <f t="shared" ref="D22:M22" si="11">D14</f>
        <v>0</v>
      </c>
      <c r="E22" s="182">
        <f t="shared" si="11"/>
        <v>0</v>
      </c>
      <c r="F22" s="182">
        <f t="shared" si="11"/>
        <v>0</v>
      </c>
      <c r="G22" s="209">
        <f t="shared" si="11"/>
        <v>0</v>
      </c>
      <c r="H22" s="209">
        <f t="shared" si="11"/>
        <v>0</v>
      </c>
      <c r="I22" s="209">
        <f t="shared" si="11"/>
        <v>0</v>
      </c>
      <c r="J22" s="196">
        <f t="shared" si="11"/>
        <v>6200007.9174236339</v>
      </c>
      <c r="K22" s="196">
        <f t="shared" si="11"/>
        <v>6324008.0757721076</v>
      </c>
      <c r="L22" s="196">
        <f t="shared" si="11"/>
        <v>0</v>
      </c>
      <c r="M22" s="196">
        <f t="shared" si="11"/>
        <v>0</v>
      </c>
      <c r="N22" s="1"/>
    </row>
    <row r="23" spans="1:14" x14ac:dyDescent="0.2">
      <c r="A23" s="159" t="s">
        <v>102</v>
      </c>
      <c r="B23" s="316">
        <v>7.0000000000000007E-2</v>
      </c>
      <c r="C23" s="221">
        <f>C22/$B$23</f>
        <v>0</v>
      </c>
      <c r="D23" s="183"/>
      <c r="E23" s="183"/>
      <c r="F23" s="183">
        <f t="shared" ref="F23:I23" si="12">F22/$B$23</f>
        <v>0</v>
      </c>
      <c r="G23" s="210"/>
      <c r="H23" s="210"/>
      <c r="I23" s="210">
        <f t="shared" si="12"/>
        <v>0</v>
      </c>
      <c r="J23" s="197"/>
      <c r="K23" s="197"/>
      <c r="L23" s="197">
        <f t="shared" ref="L23" si="13">L22/$B$23</f>
        <v>0</v>
      </c>
      <c r="M23" s="197">
        <f>N14/$B$23</f>
        <v>178914514.1885106</v>
      </c>
      <c r="N23" s="1"/>
    </row>
    <row r="24" spans="1:14" x14ac:dyDescent="0.2">
      <c r="A24" s="159" t="s">
        <v>103</v>
      </c>
      <c r="B24" s="317">
        <v>0.05</v>
      </c>
      <c r="C24" s="222">
        <f>C23*(-$B$24)</f>
        <v>0</v>
      </c>
      <c r="D24" s="183">
        <f t="shared" ref="D24:M24" si="14">D23*(-$B$24)</f>
        <v>0</v>
      </c>
      <c r="E24" s="183">
        <f t="shared" si="14"/>
        <v>0</v>
      </c>
      <c r="F24" s="183">
        <f t="shared" si="14"/>
        <v>0</v>
      </c>
      <c r="G24" s="210">
        <f t="shared" si="14"/>
        <v>0</v>
      </c>
      <c r="H24" s="210">
        <f t="shared" si="14"/>
        <v>0</v>
      </c>
      <c r="I24" s="210">
        <f t="shared" si="14"/>
        <v>0</v>
      </c>
      <c r="J24" s="197">
        <f t="shared" si="14"/>
        <v>0</v>
      </c>
      <c r="K24" s="197">
        <f t="shared" si="14"/>
        <v>0</v>
      </c>
      <c r="L24" s="197">
        <f t="shared" si="14"/>
        <v>0</v>
      </c>
      <c r="M24" s="197">
        <f t="shared" si="14"/>
        <v>-8945725.7094255295</v>
      </c>
      <c r="N24" s="1"/>
    </row>
    <row r="25" spans="1:14" x14ac:dyDescent="0.2">
      <c r="A25" s="49" t="s">
        <v>3</v>
      </c>
      <c r="B25" s="329"/>
      <c r="C25" s="219">
        <f>C20</f>
        <v>0</v>
      </c>
      <c r="D25" s="280">
        <f>-D20</f>
        <v>0</v>
      </c>
      <c r="E25" s="280">
        <f t="shared" ref="E25:M25" si="15">-E20</f>
        <v>0</v>
      </c>
      <c r="F25" s="280">
        <f t="shared" si="15"/>
        <v>0</v>
      </c>
      <c r="G25" s="286">
        <f t="shared" si="15"/>
        <v>0</v>
      </c>
      <c r="H25" s="286">
        <f t="shared" si="15"/>
        <v>0</v>
      </c>
      <c r="I25" s="286">
        <f t="shared" si="15"/>
        <v>0</v>
      </c>
      <c r="J25" s="292">
        <f t="shared" si="15"/>
        <v>-8611122.1075328253</v>
      </c>
      <c r="K25" s="292">
        <f t="shared" si="15"/>
        <v>-8783344.5496834833</v>
      </c>
      <c r="L25" s="292">
        <f t="shared" si="15"/>
        <v>0</v>
      </c>
      <c r="M25" s="292">
        <f t="shared" si="15"/>
        <v>0</v>
      </c>
      <c r="N25" s="1"/>
    </row>
    <row r="26" spans="1:14" x14ac:dyDescent="0.2">
      <c r="A26" s="160" t="s">
        <v>6</v>
      </c>
      <c r="B26" s="330"/>
      <c r="C26" s="301">
        <f>SUM(C22:C25)</f>
        <v>0</v>
      </c>
      <c r="D26" s="281">
        <f t="shared" ref="D26:M26" si="16">SUM(D22:D25)</f>
        <v>0</v>
      </c>
      <c r="E26" s="281">
        <f t="shared" si="16"/>
        <v>0</v>
      </c>
      <c r="F26" s="281">
        <f t="shared" si="16"/>
        <v>0</v>
      </c>
      <c r="G26" s="287">
        <f t="shared" si="16"/>
        <v>0</v>
      </c>
      <c r="H26" s="287">
        <f t="shared" si="16"/>
        <v>0</v>
      </c>
      <c r="I26" s="287">
        <f t="shared" si="16"/>
        <v>0</v>
      </c>
      <c r="J26" s="293">
        <f t="shared" si="16"/>
        <v>-2411114.1901091915</v>
      </c>
      <c r="K26" s="293">
        <f t="shared" si="16"/>
        <v>-2459336.4739113757</v>
      </c>
      <c r="L26" s="293">
        <f t="shared" si="16"/>
        <v>0</v>
      </c>
      <c r="M26" s="293">
        <f t="shared" si="16"/>
        <v>169968788.47908506</v>
      </c>
      <c r="N26" s="1"/>
    </row>
    <row r="27" spans="1:14" x14ac:dyDescent="0.2">
      <c r="A27" s="161" t="s">
        <v>39</v>
      </c>
      <c r="B27" s="304">
        <v>0.1</v>
      </c>
      <c r="C27" s="223">
        <f>C26+(NPV(B27,D26:M26))</f>
        <v>63145744.374444261</v>
      </c>
      <c r="D27" s="173"/>
      <c r="E27" s="173"/>
      <c r="F27" s="173"/>
      <c r="G27" s="199"/>
      <c r="H27" s="199"/>
      <c r="I27" s="199"/>
      <c r="J27" s="186"/>
      <c r="K27" s="186"/>
      <c r="L27" s="186"/>
      <c r="M27" s="186"/>
      <c r="N27" s="1"/>
    </row>
    <row r="28" spans="1:14" x14ac:dyDescent="0.2">
      <c r="A28" s="50" t="s">
        <v>105</v>
      </c>
      <c r="B28" s="329"/>
      <c r="C28" s="324">
        <f>IRR(C26:M26)</f>
        <v>2.8174127987605617</v>
      </c>
      <c r="D28" s="181"/>
      <c r="E28" s="181"/>
      <c r="F28" s="181"/>
      <c r="G28" s="208"/>
      <c r="H28" s="208"/>
      <c r="I28" s="208"/>
      <c r="J28" s="195"/>
      <c r="K28" s="195"/>
      <c r="L28" s="195"/>
      <c r="M28" s="195"/>
      <c r="N28" s="1"/>
    </row>
    <row r="29" spans="1:14" x14ac:dyDescent="0.2">
      <c r="A29" s="50" t="s">
        <v>90</v>
      </c>
      <c r="B29" s="329"/>
      <c r="C29" s="219"/>
      <c r="D29" s="181"/>
      <c r="E29" s="181"/>
      <c r="F29" s="181"/>
      <c r="G29" s="208"/>
      <c r="H29" s="208"/>
      <c r="I29" s="208"/>
      <c r="J29" s="195"/>
      <c r="K29" s="195"/>
      <c r="L29" s="195"/>
      <c r="M29" s="195"/>
      <c r="N29" s="1"/>
    </row>
    <row r="30" spans="1:14" x14ac:dyDescent="0.2">
      <c r="A30" s="161"/>
      <c r="B30" s="339"/>
      <c r="C30" s="53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1"/>
    </row>
    <row r="31" spans="1:14" x14ac:dyDescent="0.2">
      <c r="A31" s="50"/>
      <c r="B31" s="340"/>
      <c r="C31" s="392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1"/>
    </row>
    <row r="32" spans="1:14" x14ac:dyDescent="0.2">
      <c r="A32" s="50"/>
      <c r="B32" s="340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1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zoomScale="85" zoomScaleNormal="85" workbookViewId="0">
      <selection activeCell="P27" sqref="P27"/>
    </sheetView>
  </sheetViews>
  <sheetFormatPr defaultColWidth="9.140625" defaultRowHeight="12.75" x14ac:dyDescent="0.2"/>
  <cols>
    <col min="1" max="1" width="14.42578125" style="1" customWidth="1"/>
    <col min="2" max="3" width="14.42578125" style="3" customWidth="1"/>
    <col min="4" max="13" width="14.42578125" style="1" customWidth="1"/>
    <col min="14" max="14" width="12.85546875" style="1" bestFit="1" customWidth="1"/>
    <col min="15" max="16384" width="9.140625" style="1"/>
  </cols>
  <sheetData>
    <row r="1" spans="1:15" ht="14.1" customHeight="1" x14ac:dyDescent="0.25">
      <c r="A1" s="92" t="s">
        <v>71</v>
      </c>
      <c r="B1" s="94">
        <v>198923</v>
      </c>
      <c r="L1" s="38" t="s">
        <v>71</v>
      </c>
      <c r="M1" s="39">
        <v>198923</v>
      </c>
    </row>
    <row r="2" spans="1:15" ht="14.1" customHeight="1" thickBot="1" x14ac:dyDescent="0.25">
      <c r="C2" s="3">
        <v>0</v>
      </c>
      <c r="D2" s="1">
        <v>1</v>
      </c>
      <c r="E2" s="3">
        <v>2</v>
      </c>
      <c r="F2" s="1">
        <v>3</v>
      </c>
      <c r="G2" s="3">
        <v>4</v>
      </c>
      <c r="H2" s="1">
        <v>5</v>
      </c>
      <c r="I2" s="3">
        <v>6</v>
      </c>
      <c r="J2" s="1">
        <v>7</v>
      </c>
      <c r="K2" s="3">
        <v>8</v>
      </c>
      <c r="L2" s="1">
        <v>9</v>
      </c>
      <c r="M2" s="3">
        <v>10</v>
      </c>
    </row>
    <row r="3" spans="1:15" ht="14.1" customHeight="1" x14ac:dyDescent="0.2">
      <c r="A3" s="99"/>
      <c r="B3" s="137"/>
      <c r="C3" s="126" t="s">
        <v>100</v>
      </c>
      <c r="D3" s="127" t="s">
        <v>56</v>
      </c>
      <c r="E3" s="128"/>
      <c r="F3" s="127"/>
      <c r="G3" s="127" t="s">
        <v>124</v>
      </c>
      <c r="H3" s="127"/>
      <c r="I3" s="127"/>
      <c r="J3" s="127" t="s">
        <v>125</v>
      </c>
      <c r="K3" s="127"/>
      <c r="L3" s="127"/>
      <c r="M3" s="129"/>
      <c r="N3" s="46"/>
      <c r="O3" s="46"/>
    </row>
    <row r="4" spans="1:15" ht="14.1" customHeight="1" x14ac:dyDescent="0.2">
      <c r="A4" s="615"/>
      <c r="B4" s="147" t="s">
        <v>28</v>
      </c>
      <c r="C4" s="148" t="s">
        <v>118</v>
      </c>
      <c r="D4" s="149">
        <v>2021</v>
      </c>
      <c r="E4" s="106">
        <f>D4+1</f>
        <v>2022</v>
      </c>
      <c r="F4" s="106">
        <f t="shared" ref="F4:M4" si="0">E4+1</f>
        <v>2023</v>
      </c>
      <c r="G4" s="106">
        <f t="shared" si="0"/>
        <v>2024</v>
      </c>
      <c r="H4" s="106">
        <f t="shared" si="0"/>
        <v>2025</v>
      </c>
      <c r="I4" s="106">
        <f t="shared" si="0"/>
        <v>2026</v>
      </c>
      <c r="J4" s="106">
        <f t="shared" si="0"/>
        <v>2027</v>
      </c>
      <c r="K4" s="106">
        <f t="shared" si="0"/>
        <v>2028</v>
      </c>
      <c r="L4" s="106">
        <f t="shared" si="0"/>
        <v>2029</v>
      </c>
      <c r="M4" s="150">
        <f t="shared" si="0"/>
        <v>2030</v>
      </c>
      <c r="N4" s="46"/>
      <c r="O4" s="46"/>
    </row>
    <row r="5" spans="1:15" ht="18" customHeight="1" x14ac:dyDescent="0.2">
      <c r="A5" s="616" t="s">
        <v>16</v>
      </c>
      <c r="B5" s="37"/>
      <c r="C5" s="37"/>
      <c r="D5" s="15"/>
      <c r="E5" s="15"/>
      <c r="F5" s="15"/>
      <c r="G5" s="15"/>
      <c r="H5" s="15"/>
      <c r="I5" s="15"/>
      <c r="J5" s="15"/>
      <c r="K5" s="15"/>
      <c r="L5" s="15"/>
      <c r="M5" s="617"/>
    </row>
    <row r="6" spans="1:15" ht="14.1" customHeight="1" x14ac:dyDescent="0.2">
      <c r="A6" s="618" t="s">
        <v>12</v>
      </c>
      <c r="B6" s="640">
        <v>0.02</v>
      </c>
      <c r="C6" s="641">
        <f>1+B6</f>
        <v>1.02</v>
      </c>
      <c r="D6" s="642">
        <f>C6*(1+$B$6)</f>
        <v>1.0404</v>
      </c>
      <c r="E6" s="642">
        <f t="shared" ref="E6:M6" si="1">D6*(1+$B$6)</f>
        <v>1.0612079999999999</v>
      </c>
      <c r="F6" s="642">
        <f t="shared" si="1"/>
        <v>1.08243216</v>
      </c>
      <c r="G6" s="643">
        <f t="shared" si="1"/>
        <v>1.1040808032</v>
      </c>
      <c r="H6" s="643">
        <f t="shared" si="1"/>
        <v>1.1261624192640001</v>
      </c>
      <c r="I6" s="643">
        <f t="shared" si="1"/>
        <v>1.14868566764928</v>
      </c>
      <c r="J6" s="644">
        <f t="shared" si="1"/>
        <v>1.1716593810022657</v>
      </c>
      <c r="K6" s="644">
        <f t="shared" si="1"/>
        <v>1.1950925686223111</v>
      </c>
      <c r="L6" s="644">
        <f t="shared" si="1"/>
        <v>1.2189944199947573</v>
      </c>
      <c r="M6" s="645">
        <f t="shared" si="1"/>
        <v>1.2433743083946525</v>
      </c>
    </row>
    <row r="7" spans="1:15" ht="14.1" customHeight="1" x14ac:dyDescent="0.2">
      <c r="A7" s="618" t="s">
        <v>247</v>
      </c>
      <c r="B7" s="640"/>
      <c r="C7" s="641">
        <f>'Development Schedule'!D45</f>
        <v>0</v>
      </c>
      <c r="D7" s="642">
        <f>'Development Schedule'!E45</f>
        <v>99596.349999999991</v>
      </c>
      <c r="E7" s="642">
        <f>'Development Schedule'!F45</f>
        <v>99596.349999999991</v>
      </c>
      <c r="F7" s="642">
        <f>'Development Schedule'!G45</f>
        <v>0</v>
      </c>
      <c r="G7" s="643">
        <f>'Development Schedule'!H45</f>
        <v>71351</v>
      </c>
      <c r="H7" s="643">
        <f>'Development Schedule'!I45</f>
        <v>71351</v>
      </c>
      <c r="I7" s="643">
        <f>'Development Schedule'!J45</f>
        <v>0</v>
      </c>
      <c r="J7" s="644">
        <f>'Development Schedule'!K45</f>
        <v>54125.399999999994</v>
      </c>
      <c r="K7" s="644">
        <f>'Development Schedule'!L45</f>
        <v>54125.399999999994</v>
      </c>
      <c r="L7" s="644">
        <f>'Development Schedule'!M45</f>
        <v>0</v>
      </c>
      <c r="M7" s="645">
        <f>'Development Schedule'!N45</f>
        <v>0</v>
      </c>
    </row>
    <row r="8" spans="1:15" ht="14.1" customHeight="1" x14ac:dyDescent="0.2">
      <c r="A8" s="618" t="s">
        <v>40</v>
      </c>
      <c r="B8" s="646"/>
      <c r="C8" s="647">
        <f t="shared" ref="C8:M8" si="2">C7/350</f>
        <v>0</v>
      </c>
      <c r="D8" s="182">
        <f t="shared" si="2"/>
        <v>284.56099999999998</v>
      </c>
      <c r="E8" s="182">
        <f t="shared" si="2"/>
        <v>284.56099999999998</v>
      </c>
      <c r="F8" s="182">
        <f t="shared" si="2"/>
        <v>0</v>
      </c>
      <c r="G8" s="209">
        <f t="shared" si="2"/>
        <v>203.86</v>
      </c>
      <c r="H8" s="209">
        <f t="shared" si="2"/>
        <v>203.86</v>
      </c>
      <c r="I8" s="209">
        <f t="shared" si="2"/>
        <v>0</v>
      </c>
      <c r="J8" s="196">
        <f t="shared" si="2"/>
        <v>154.64399999999998</v>
      </c>
      <c r="K8" s="196">
        <f t="shared" si="2"/>
        <v>154.64399999999998</v>
      </c>
      <c r="L8" s="196">
        <f t="shared" si="2"/>
        <v>0</v>
      </c>
      <c r="M8" s="648">
        <f t="shared" si="2"/>
        <v>0</v>
      </c>
    </row>
    <row r="9" spans="1:15" ht="14.1" customHeight="1" x14ac:dyDescent="0.2">
      <c r="A9" s="618" t="s">
        <v>246</v>
      </c>
      <c r="B9" s="646"/>
      <c r="C9" s="647">
        <f>SUM(C8)</f>
        <v>0</v>
      </c>
      <c r="D9" s="182">
        <f>SUM($C$8:D8)</f>
        <v>284.56099999999998</v>
      </c>
      <c r="E9" s="182">
        <f>SUM($C$8:E8)</f>
        <v>569.12199999999996</v>
      </c>
      <c r="F9" s="182">
        <f>SUM($C$8:F8)</f>
        <v>569.12199999999996</v>
      </c>
      <c r="G9" s="209">
        <f>SUM($C$8:G8)</f>
        <v>772.98199999999997</v>
      </c>
      <c r="H9" s="209">
        <f>SUM($C$8:H8)</f>
        <v>976.84199999999998</v>
      </c>
      <c r="I9" s="209">
        <f>SUM($C$8:I8)</f>
        <v>976.84199999999998</v>
      </c>
      <c r="J9" s="196">
        <f>SUM($C$8:J8)</f>
        <v>1131.4859999999999</v>
      </c>
      <c r="K9" s="196">
        <f>SUM($C$8:K8)</f>
        <v>1286.1299999999999</v>
      </c>
      <c r="L9" s="196">
        <f>SUM($C$8:L8)</f>
        <v>1286.1299999999999</v>
      </c>
      <c r="M9" s="648">
        <f>SUM($C$8:M8)</f>
        <v>1286.1299999999999</v>
      </c>
    </row>
    <row r="10" spans="1:15" ht="14.1" customHeight="1" x14ac:dyDescent="0.2">
      <c r="A10" s="618" t="s">
        <v>21</v>
      </c>
      <c r="B10" s="646"/>
      <c r="C10" s="647"/>
      <c r="D10" s="649"/>
      <c r="E10" s="649"/>
      <c r="F10" s="649"/>
      <c r="G10" s="650"/>
      <c r="H10" s="650"/>
      <c r="I10" s="650"/>
      <c r="J10" s="651"/>
      <c r="K10" s="651"/>
      <c r="L10" s="651"/>
      <c r="M10" s="652"/>
    </row>
    <row r="11" spans="1:15" ht="14.1" customHeight="1" x14ac:dyDescent="0.2">
      <c r="A11" s="436" t="s">
        <v>29</v>
      </c>
      <c r="B11" s="653">
        <v>185</v>
      </c>
      <c r="C11" s="223">
        <f t="shared" ref="C11:M11" si="3">$B$11*(1+$B$6)^C2</f>
        <v>185</v>
      </c>
      <c r="D11" s="364">
        <f t="shared" si="3"/>
        <v>188.70000000000002</v>
      </c>
      <c r="E11" s="364">
        <f t="shared" si="3"/>
        <v>192.47399999999999</v>
      </c>
      <c r="F11" s="364">
        <f t="shared" si="3"/>
        <v>196.32347999999999</v>
      </c>
      <c r="G11" s="357">
        <f t="shared" si="3"/>
        <v>200.24994960000001</v>
      </c>
      <c r="H11" s="357">
        <f t="shared" si="3"/>
        <v>204.25494859200001</v>
      </c>
      <c r="I11" s="357">
        <f t="shared" si="3"/>
        <v>208.34004756384002</v>
      </c>
      <c r="J11" s="351">
        <f t="shared" si="3"/>
        <v>212.50684851511676</v>
      </c>
      <c r="K11" s="351">
        <f t="shared" si="3"/>
        <v>216.75698548541911</v>
      </c>
      <c r="L11" s="351">
        <f t="shared" si="3"/>
        <v>221.09212519512749</v>
      </c>
      <c r="M11" s="654">
        <f t="shared" si="3"/>
        <v>225.51396769903008</v>
      </c>
    </row>
    <row r="12" spans="1:15" ht="14.1" customHeight="1" x14ac:dyDescent="0.2">
      <c r="A12" s="436" t="s">
        <v>30</v>
      </c>
      <c r="B12" s="646">
        <v>0.5</v>
      </c>
      <c r="C12" s="647">
        <f>B12</f>
        <v>0.5</v>
      </c>
      <c r="D12" s="182">
        <f t="shared" ref="D12:M12" si="4">C12</f>
        <v>0.5</v>
      </c>
      <c r="E12" s="182">
        <f t="shared" si="4"/>
        <v>0.5</v>
      </c>
      <c r="F12" s="182">
        <f t="shared" si="4"/>
        <v>0.5</v>
      </c>
      <c r="G12" s="209">
        <f t="shared" si="4"/>
        <v>0.5</v>
      </c>
      <c r="H12" s="209">
        <f t="shared" si="4"/>
        <v>0.5</v>
      </c>
      <c r="I12" s="209">
        <f t="shared" si="4"/>
        <v>0.5</v>
      </c>
      <c r="J12" s="196">
        <f t="shared" si="4"/>
        <v>0.5</v>
      </c>
      <c r="K12" s="196">
        <f t="shared" si="4"/>
        <v>0.5</v>
      </c>
      <c r="L12" s="196">
        <f t="shared" si="4"/>
        <v>0.5</v>
      </c>
      <c r="M12" s="648">
        <f t="shared" si="4"/>
        <v>0.5</v>
      </c>
    </row>
    <row r="13" spans="1:15" ht="14.1" customHeight="1" x14ac:dyDescent="0.2">
      <c r="A13" s="436" t="s">
        <v>31</v>
      </c>
      <c r="B13" s="646">
        <v>1</v>
      </c>
      <c r="C13" s="647">
        <f>B13</f>
        <v>1</v>
      </c>
      <c r="D13" s="182">
        <f t="shared" ref="D13:M13" si="5">C13</f>
        <v>1</v>
      </c>
      <c r="E13" s="182">
        <f t="shared" si="5"/>
        <v>1</v>
      </c>
      <c r="F13" s="182">
        <f t="shared" si="5"/>
        <v>1</v>
      </c>
      <c r="G13" s="209">
        <f t="shared" si="5"/>
        <v>1</v>
      </c>
      <c r="H13" s="209">
        <f t="shared" si="5"/>
        <v>1</v>
      </c>
      <c r="I13" s="209">
        <f t="shared" si="5"/>
        <v>1</v>
      </c>
      <c r="J13" s="196">
        <f t="shared" si="5"/>
        <v>1</v>
      </c>
      <c r="K13" s="196">
        <f t="shared" si="5"/>
        <v>1</v>
      </c>
      <c r="L13" s="196">
        <f t="shared" si="5"/>
        <v>1</v>
      </c>
      <c r="M13" s="648">
        <f t="shared" si="5"/>
        <v>1</v>
      </c>
    </row>
    <row r="14" spans="1:15" ht="14.1" customHeight="1" x14ac:dyDescent="0.2">
      <c r="A14" s="618" t="s">
        <v>22</v>
      </c>
      <c r="B14" s="655"/>
      <c r="C14" s="656"/>
      <c r="D14" s="657"/>
      <c r="E14" s="657"/>
      <c r="F14" s="657"/>
      <c r="G14" s="658"/>
      <c r="H14" s="658"/>
      <c r="I14" s="658"/>
      <c r="J14" s="659"/>
      <c r="K14" s="659"/>
      <c r="L14" s="659"/>
      <c r="M14" s="660"/>
    </row>
    <row r="15" spans="1:15" ht="14.1" customHeight="1" x14ac:dyDescent="0.2">
      <c r="A15" s="436" t="s">
        <v>32</v>
      </c>
      <c r="B15" s="646"/>
      <c r="C15" s="647">
        <f>(1-C12)*C9</f>
        <v>0</v>
      </c>
      <c r="D15" s="182">
        <f>(1-D12)*D9</f>
        <v>142.28049999999999</v>
      </c>
      <c r="E15" s="182">
        <f t="shared" ref="E15:M15" si="6">(1-E12)*E9</f>
        <v>284.56099999999998</v>
      </c>
      <c r="F15" s="182">
        <f t="shared" si="6"/>
        <v>284.56099999999998</v>
      </c>
      <c r="G15" s="209">
        <f t="shared" si="6"/>
        <v>386.49099999999999</v>
      </c>
      <c r="H15" s="209">
        <f t="shared" si="6"/>
        <v>488.42099999999999</v>
      </c>
      <c r="I15" s="209">
        <f t="shared" si="6"/>
        <v>488.42099999999999</v>
      </c>
      <c r="J15" s="196">
        <f t="shared" si="6"/>
        <v>565.74299999999994</v>
      </c>
      <c r="K15" s="196">
        <f t="shared" si="6"/>
        <v>643.06499999999994</v>
      </c>
      <c r="L15" s="196">
        <f t="shared" si="6"/>
        <v>643.06499999999994</v>
      </c>
      <c r="M15" s="648">
        <f t="shared" si="6"/>
        <v>643.06499999999994</v>
      </c>
    </row>
    <row r="16" spans="1:15" ht="14.1" customHeight="1" x14ac:dyDescent="0.2">
      <c r="A16" s="436" t="s">
        <v>33</v>
      </c>
      <c r="B16" s="661">
        <f>(2/7)*365</f>
        <v>104.28571428571428</v>
      </c>
      <c r="C16" s="647">
        <f t="shared" ref="C16:C21" si="7">B16</f>
        <v>104.28571428571428</v>
      </c>
      <c r="D16" s="182">
        <f t="shared" ref="D16:M16" si="8">C16</f>
        <v>104.28571428571428</v>
      </c>
      <c r="E16" s="182">
        <f t="shared" si="8"/>
        <v>104.28571428571428</v>
      </c>
      <c r="F16" s="182">
        <f t="shared" si="8"/>
        <v>104.28571428571428</v>
      </c>
      <c r="G16" s="209">
        <f t="shared" si="8"/>
        <v>104.28571428571428</v>
      </c>
      <c r="H16" s="209">
        <f t="shared" si="8"/>
        <v>104.28571428571428</v>
      </c>
      <c r="I16" s="209">
        <f t="shared" si="8"/>
        <v>104.28571428571428</v>
      </c>
      <c r="J16" s="196">
        <f t="shared" si="8"/>
        <v>104.28571428571428</v>
      </c>
      <c r="K16" s="196">
        <f t="shared" si="8"/>
        <v>104.28571428571428</v>
      </c>
      <c r="L16" s="196">
        <f t="shared" si="8"/>
        <v>104.28571428571428</v>
      </c>
      <c r="M16" s="648">
        <f t="shared" si="8"/>
        <v>104.28571428571428</v>
      </c>
    </row>
    <row r="17" spans="1:13" ht="14.1" customHeight="1" x14ac:dyDescent="0.2">
      <c r="A17" s="436" t="s">
        <v>34</v>
      </c>
      <c r="B17" s="646">
        <v>12</v>
      </c>
      <c r="C17" s="647">
        <f t="shared" si="7"/>
        <v>12</v>
      </c>
      <c r="D17" s="182">
        <f t="shared" ref="D17:M17" si="9">C17</f>
        <v>12</v>
      </c>
      <c r="E17" s="182">
        <f t="shared" si="9"/>
        <v>12</v>
      </c>
      <c r="F17" s="182">
        <f t="shared" si="9"/>
        <v>12</v>
      </c>
      <c r="G17" s="209">
        <f t="shared" si="9"/>
        <v>12</v>
      </c>
      <c r="H17" s="209">
        <f t="shared" si="9"/>
        <v>12</v>
      </c>
      <c r="I17" s="209">
        <f t="shared" si="9"/>
        <v>12</v>
      </c>
      <c r="J17" s="196">
        <f t="shared" si="9"/>
        <v>12</v>
      </c>
      <c r="K17" s="196">
        <f t="shared" si="9"/>
        <v>12</v>
      </c>
      <c r="L17" s="196">
        <f t="shared" si="9"/>
        <v>12</v>
      </c>
      <c r="M17" s="648">
        <f t="shared" si="9"/>
        <v>12</v>
      </c>
    </row>
    <row r="18" spans="1:13" ht="14.1" customHeight="1" x14ac:dyDescent="0.2">
      <c r="A18" s="436" t="s">
        <v>35</v>
      </c>
      <c r="B18" s="646">
        <v>0.5</v>
      </c>
      <c r="C18" s="647">
        <f t="shared" si="7"/>
        <v>0.5</v>
      </c>
      <c r="D18" s="182">
        <f>C18+0.05</f>
        <v>0.55000000000000004</v>
      </c>
      <c r="E18" s="182">
        <f t="shared" ref="E18:J18" si="10">D18+0.05</f>
        <v>0.60000000000000009</v>
      </c>
      <c r="F18" s="182">
        <f t="shared" si="10"/>
        <v>0.65000000000000013</v>
      </c>
      <c r="G18" s="209">
        <f t="shared" si="10"/>
        <v>0.70000000000000018</v>
      </c>
      <c r="H18" s="209">
        <f t="shared" si="10"/>
        <v>0.75000000000000022</v>
      </c>
      <c r="I18" s="209">
        <f t="shared" si="10"/>
        <v>0.80000000000000027</v>
      </c>
      <c r="J18" s="196">
        <f t="shared" si="10"/>
        <v>0.85000000000000031</v>
      </c>
      <c r="K18" s="196">
        <f>J18+0.05</f>
        <v>0.90000000000000036</v>
      </c>
      <c r="L18" s="196">
        <f>K18+0.05</f>
        <v>0.9500000000000004</v>
      </c>
      <c r="M18" s="648">
        <f>L18</f>
        <v>0.9500000000000004</v>
      </c>
    </row>
    <row r="19" spans="1:13" ht="14.1" customHeight="1" x14ac:dyDescent="0.2">
      <c r="A19" s="436" t="s">
        <v>36</v>
      </c>
      <c r="B19" s="661">
        <f>(5/7)*365</f>
        <v>260.71428571428572</v>
      </c>
      <c r="C19" s="647">
        <f t="shared" si="7"/>
        <v>260.71428571428572</v>
      </c>
      <c r="D19" s="182">
        <f t="shared" ref="D19:M19" si="11">C19</f>
        <v>260.71428571428572</v>
      </c>
      <c r="E19" s="182">
        <f t="shared" si="11"/>
        <v>260.71428571428572</v>
      </c>
      <c r="F19" s="182">
        <f t="shared" si="11"/>
        <v>260.71428571428572</v>
      </c>
      <c r="G19" s="209">
        <f t="shared" si="11"/>
        <v>260.71428571428572</v>
      </c>
      <c r="H19" s="209">
        <f t="shared" si="11"/>
        <v>260.71428571428572</v>
      </c>
      <c r="I19" s="209">
        <f t="shared" si="11"/>
        <v>260.71428571428572</v>
      </c>
      <c r="J19" s="196">
        <f t="shared" si="11"/>
        <v>260.71428571428572</v>
      </c>
      <c r="K19" s="196">
        <f t="shared" si="11"/>
        <v>260.71428571428572</v>
      </c>
      <c r="L19" s="196">
        <f t="shared" si="11"/>
        <v>260.71428571428572</v>
      </c>
      <c r="M19" s="648">
        <f t="shared" si="11"/>
        <v>260.71428571428572</v>
      </c>
    </row>
    <row r="20" spans="1:13" ht="14.1" customHeight="1" x14ac:dyDescent="0.2">
      <c r="A20" s="436" t="s">
        <v>34</v>
      </c>
      <c r="B20" s="646">
        <v>10</v>
      </c>
      <c r="C20" s="647">
        <f t="shared" si="7"/>
        <v>10</v>
      </c>
      <c r="D20" s="182">
        <f t="shared" ref="D20:M20" si="12">C20</f>
        <v>10</v>
      </c>
      <c r="E20" s="182">
        <f t="shared" si="12"/>
        <v>10</v>
      </c>
      <c r="F20" s="182">
        <f t="shared" si="12"/>
        <v>10</v>
      </c>
      <c r="G20" s="209">
        <f t="shared" si="12"/>
        <v>10</v>
      </c>
      <c r="H20" s="209">
        <f t="shared" si="12"/>
        <v>10</v>
      </c>
      <c r="I20" s="209">
        <f t="shared" si="12"/>
        <v>10</v>
      </c>
      <c r="J20" s="196">
        <f t="shared" si="12"/>
        <v>10</v>
      </c>
      <c r="K20" s="196">
        <f t="shared" si="12"/>
        <v>10</v>
      </c>
      <c r="L20" s="196">
        <f t="shared" si="12"/>
        <v>10</v>
      </c>
      <c r="M20" s="648">
        <f t="shared" si="12"/>
        <v>10</v>
      </c>
    </row>
    <row r="21" spans="1:13" ht="14.1" customHeight="1" x14ac:dyDescent="0.2">
      <c r="A21" s="436" t="s">
        <v>35</v>
      </c>
      <c r="B21" s="646">
        <v>0.95</v>
      </c>
      <c r="C21" s="647">
        <f t="shared" si="7"/>
        <v>0.95</v>
      </c>
      <c r="D21" s="182">
        <f t="shared" ref="D21:M21" si="13">C21</f>
        <v>0.95</v>
      </c>
      <c r="E21" s="182">
        <f t="shared" si="13"/>
        <v>0.95</v>
      </c>
      <c r="F21" s="182">
        <f t="shared" si="13"/>
        <v>0.95</v>
      </c>
      <c r="G21" s="209">
        <f t="shared" si="13"/>
        <v>0.95</v>
      </c>
      <c r="H21" s="209">
        <f t="shared" si="13"/>
        <v>0.95</v>
      </c>
      <c r="I21" s="209">
        <f t="shared" si="13"/>
        <v>0.95</v>
      </c>
      <c r="J21" s="196">
        <f t="shared" si="13"/>
        <v>0.95</v>
      </c>
      <c r="K21" s="196">
        <f t="shared" si="13"/>
        <v>0.95</v>
      </c>
      <c r="L21" s="196">
        <f t="shared" si="13"/>
        <v>0.95</v>
      </c>
      <c r="M21" s="648">
        <f t="shared" si="13"/>
        <v>0.95</v>
      </c>
    </row>
    <row r="22" spans="1:13" ht="14.1" customHeight="1" x14ac:dyDescent="0.2">
      <c r="A22" s="436" t="s">
        <v>37</v>
      </c>
      <c r="B22" s="653">
        <v>2</v>
      </c>
      <c r="C22" s="223">
        <f t="shared" ref="C22:M22" si="14">$B$22*(1+$B$6)^C2</f>
        <v>2</v>
      </c>
      <c r="D22" s="364">
        <f t="shared" si="14"/>
        <v>2.04</v>
      </c>
      <c r="E22" s="364">
        <f t="shared" si="14"/>
        <v>2.0808</v>
      </c>
      <c r="F22" s="364">
        <f t="shared" si="14"/>
        <v>2.1224159999999999</v>
      </c>
      <c r="G22" s="357">
        <f t="shared" si="14"/>
        <v>2.16486432</v>
      </c>
      <c r="H22" s="357">
        <f t="shared" si="14"/>
        <v>2.2081616064</v>
      </c>
      <c r="I22" s="357">
        <f t="shared" si="14"/>
        <v>2.2523248385280001</v>
      </c>
      <c r="J22" s="351">
        <f t="shared" si="14"/>
        <v>2.2973713352985596</v>
      </c>
      <c r="K22" s="351">
        <f t="shared" si="14"/>
        <v>2.343318762004531</v>
      </c>
      <c r="L22" s="351">
        <f t="shared" si="14"/>
        <v>2.3901851372446217</v>
      </c>
      <c r="M22" s="654">
        <f t="shared" si="14"/>
        <v>2.4379888399895142</v>
      </c>
    </row>
    <row r="23" spans="1:13" ht="14.1" customHeight="1" x14ac:dyDescent="0.2">
      <c r="A23" s="618" t="s">
        <v>23</v>
      </c>
      <c r="B23" s="646"/>
      <c r="C23" s="647"/>
      <c r="D23" s="649"/>
      <c r="E23" s="649"/>
      <c r="F23" s="649"/>
      <c r="G23" s="650"/>
      <c r="H23" s="650"/>
      <c r="I23" s="650"/>
      <c r="J23" s="651"/>
      <c r="K23" s="651"/>
      <c r="L23" s="651"/>
      <c r="M23" s="652"/>
    </row>
    <row r="24" spans="1:13" ht="14.1" customHeight="1" x14ac:dyDescent="0.2">
      <c r="A24" s="619" t="s">
        <v>38</v>
      </c>
      <c r="B24" s="646">
        <v>0.28000000000000003</v>
      </c>
      <c r="C24" s="662">
        <f>$B$24*C29</f>
        <v>0</v>
      </c>
      <c r="D24" s="663">
        <f t="shared" ref="D24:M24" si="15">$B$24*D29</f>
        <v>347437.71238440002</v>
      </c>
      <c r="E24" s="663">
        <f t="shared" si="15"/>
        <v>719146.77980875189</v>
      </c>
      <c r="F24" s="663">
        <f t="shared" si="15"/>
        <v>744111.03888039454</v>
      </c>
      <c r="G24" s="664">
        <f t="shared" si="15"/>
        <v>1045524.3056345215</v>
      </c>
      <c r="H24" s="664">
        <f t="shared" si="15"/>
        <v>1366583.1886986757</v>
      </c>
      <c r="I24" s="664">
        <f t="shared" si="15"/>
        <v>1413188.3022519255</v>
      </c>
      <c r="J24" s="665">
        <f t="shared" si="15"/>
        <v>1692419.6812974368</v>
      </c>
      <c r="K24" s="665">
        <f t="shared" si="15"/>
        <v>1988603.9410536515</v>
      </c>
      <c r="L24" s="665">
        <f t="shared" si="15"/>
        <v>2055305.0378552692</v>
      </c>
      <c r="M24" s="666">
        <f t="shared" si="15"/>
        <v>2096411.1386123749</v>
      </c>
    </row>
    <row r="25" spans="1:13" ht="18" customHeight="1" x14ac:dyDescent="0.2">
      <c r="A25" s="616" t="s">
        <v>5</v>
      </c>
      <c r="B25" s="667"/>
      <c r="C25" s="668"/>
      <c r="D25" s="669"/>
      <c r="E25" s="669"/>
      <c r="F25" s="669"/>
      <c r="G25" s="670"/>
      <c r="H25" s="670"/>
      <c r="I25" s="670"/>
      <c r="J25" s="671"/>
      <c r="K25" s="671"/>
      <c r="L25" s="671"/>
      <c r="M25" s="672"/>
    </row>
    <row r="26" spans="1:13" ht="14.1" customHeight="1" x14ac:dyDescent="0.2">
      <c r="A26" s="618" t="s">
        <v>24</v>
      </c>
      <c r="B26" s="646"/>
      <c r="C26" s="647"/>
      <c r="D26" s="649"/>
      <c r="E26" s="649"/>
      <c r="F26" s="649"/>
      <c r="G26" s="650"/>
      <c r="H26" s="650"/>
      <c r="I26" s="650"/>
      <c r="J26" s="651"/>
      <c r="K26" s="651"/>
      <c r="L26" s="651"/>
      <c r="M26" s="652"/>
    </row>
    <row r="27" spans="1:13" ht="14.1" customHeight="1" x14ac:dyDescent="0.2">
      <c r="A27" s="436" t="s">
        <v>25</v>
      </c>
      <c r="B27" s="646"/>
      <c r="C27" s="223">
        <f>C13*C12*C11*C9*12</f>
        <v>0</v>
      </c>
      <c r="D27" s="364">
        <f t="shared" ref="D27:M27" si="16">D13*D12*D11*D9*12</f>
        <v>322179.96419999999</v>
      </c>
      <c r="E27" s="364">
        <f t="shared" si="16"/>
        <v>657247.12696799985</v>
      </c>
      <c r="F27" s="364">
        <f t="shared" si="16"/>
        <v>670392.06950735988</v>
      </c>
      <c r="G27" s="357">
        <f t="shared" si="16"/>
        <v>928737.63925024332</v>
      </c>
      <c r="H27" s="357">
        <f t="shared" si="16"/>
        <v>1197148.8749550388</v>
      </c>
      <c r="I27" s="357">
        <f t="shared" si="16"/>
        <v>1221091.8524541396</v>
      </c>
      <c r="J27" s="351">
        <f t="shared" si="16"/>
        <v>1442691.1439938522</v>
      </c>
      <c r="K27" s="351">
        <f t="shared" si="16"/>
        <v>1672665.9704541725</v>
      </c>
      <c r="L27" s="351">
        <f t="shared" si="16"/>
        <v>1706119.2898632558</v>
      </c>
      <c r="M27" s="654">
        <f t="shared" si="16"/>
        <v>1740241.6756605213</v>
      </c>
    </row>
    <row r="28" spans="1:13" ht="14.1" customHeight="1" x14ac:dyDescent="0.2">
      <c r="A28" s="436" t="s">
        <v>26</v>
      </c>
      <c r="B28" s="646"/>
      <c r="C28" s="223">
        <f>((C22*C21*C20*C19)+(C18*C17*C16*C22))*C15</f>
        <v>0</v>
      </c>
      <c r="D28" s="364">
        <f t="shared" ref="D28:M28" si="17">((D22*D21*D20*D19)+(D18*D17*D16*D22))*D15</f>
        <v>918669.00860142859</v>
      </c>
      <c r="E28" s="364">
        <f t="shared" si="17"/>
        <v>1911134.2294918282</v>
      </c>
      <c r="F28" s="364">
        <f t="shared" si="17"/>
        <v>1987147.3550654775</v>
      </c>
      <c r="G28" s="357">
        <f t="shared" si="17"/>
        <v>2805277.738015905</v>
      </c>
      <c r="H28" s="357">
        <f t="shared" si="17"/>
        <v>3683505.3703973736</v>
      </c>
      <c r="I28" s="357">
        <f t="shared" si="17"/>
        <v>3826009.2270170217</v>
      </c>
      <c r="J28" s="351">
        <f t="shared" si="17"/>
        <v>4601664.8606398506</v>
      </c>
      <c r="K28" s="351">
        <f t="shared" si="17"/>
        <v>5429490.9618802965</v>
      </c>
      <c r="L28" s="351">
        <f t="shared" si="17"/>
        <v>5634255.8453341331</v>
      </c>
      <c r="M28" s="654">
        <f t="shared" si="17"/>
        <v>5746940.962240817</v>
      </c>
    </row>
    <row r="29" spans="1:13" ht="14.1" customHeight="1" x14ac:dyDescent="0.2">
      <c r="A29" s="618" t="s">
        <v>27</v>
      </c>
      <c r="B29" s="646"/>
      <c r="C29" s="223">
        <f>SUM(C27:C28)</f>
        <v>0</v>
      </c>
      <c r="D29" s="364">
        <f t="shared" ref="D29:M29" si="18">SUM(D27:D28)</f>
        <v>1240848.9728014285</v>
      </c>
      <c r="E29" s="364">
        <f t="shared" si="18"/>
        <v>2568381.3564598281</v>
      </c>
      <c r="F29" s="364">
        <f t="shared" si="18"/>
        <v>2657539.4245728375</v>
      </c>
      <c r="G29" s="357">
        <f t="shared" si="18"/>
        <v>3734015.3772661481</v>
      </c>
      <c r="H29" s="357">
        <f t="shared" si="18"/>
        <v>4880654.2453524126</v>
      </c>
      <c r="I29" s="357">
        <f t="shared" si="18"/>
        <v>5047101.0794711616</v>
      </c>
      <c r="J29" s="351">
        <f t="shared" si="18"/>
        <v>6044356.0046337023</v>
      </c>
      <c r="K29" s="351">
        <f t="shared" si="18"/>
        <v>7102156.9323344687</v>
      </c>
      <c r="L29" s="351">
        <f t="shared" si="18"/>
        <v>7340375.1351973889</v>
      </c>
      <c r="M29" s="654">
        <f t="shared" si="18"/>
        <v>7487182.6379013378</v>
      </c>
    </row>
    <row r="30" spans="1:13" ht="14.1" customHeight="1" x14ac:dyDescent="0.2">
      <c r="A30" s="618" t="s">
        <v>23</v>
      </c>
      <c r="B30" s="646"/>
      <c r="C30" s="223">
        <f>C24</f>
        <v>0</v>
      </c>
      <c r="D30" s="364">
        <f t="shared" ref="D30:M30" si="19">D24</f>
        <v>347437.71238440002</v>
      </c>
      <c r="E30" s="364">
        <f t="shared" si="19"/>
        <v>719146.77980875189</v>
      </c>
      <c r="F30" s="364">
        <f t="shared" si="19"/>
        <v>744111.03888039454</v>
      </c>
      <c r="G30" s="357">
        <f t="shared" si="19"/>
        <v>1045524.3056345215</v>
      </c>
      <c r="H30" s="357">
        <f t="shared" si="19"/>
        <v>1366583.1886986757</v>
      </c>
      <c r="I30" s="357">
        <f t="shared" si="19"/>
        <v>1413188.3022519255</v>
      </c>
      <c r="J30" s="351">
        <f t="shared" si="19"/>
        <v>1692419.6812974368</v>
      </c>
      <c r="K30" s="351">
        <f t="shared" si="19"/>
        <v>1988603.9410536515</v>
      </c>
      <c r="L30" s="351">
        <f t="shared" si="19"/>
        <v>2055305.0378552692</v>
      </c>
      <c r="M30" s="654">
        <f t="shared" si="19"/>
        <v>2096411.1386123749</v>
      </c>
    </row>
    <row r="31" spans="1:13" ht="14.1" customHeight="1" x14ac:dyDescent="0.2">
      <c r="A31" s="621" t="s">
        <v>5</v>
      </c>
      <c r="B31" s="673"/>
      <c r="C31" s="674">
        <f>C29-C30</f>
        <v>0</v>
      </c>
      <c r="D31" s="675">
        <f t="shared" ref="D31:M31" si="20">D29-D30</f>
        <v>893411.26041702856</v>
      </c>
      <c r="E31" s="675">
        <f t="shared" si="20"/>
        <v>1849234.5766510763</v>
      </c>
      <c r="F31" s="675">
        <f t="shared" si="20"/>
        <v>1913428.385692443</v>
      </c>
      <c r="G31" s="676">
        <f t="shared" si="20"/>
        <v>2688491.0716316267</v>
      </c>
      <c r="H31" s="676">
        <f t="shared" si="20"/>
        <v>3514071.0566537371</v>
      </c>
      <c r="I31" s="676">
        <f t="shared" si="20"/>
        <v>3633912.7772192359</v>
      </c>
      <c r="J31" s="677">
        <f t="shared" si="20"/>
        <v>4351936.323336266</v>
      </c>
      <c r="K31" s="677">
        <f t="shared" si="20"/>
        <v>5113552.9912808174</v>
      </c>
      <c r="L31" s="677">
        <f t="shared" si="20"/>
        <v>5285070.0973421196</v>
      </c>
      <c r="M31" s="678">
        <f t="shared" si="20"/>
        <v>5390771.4992889632</v>
      </c>
    </row>
    <row r="32" spans="1:13" ht="18" customHeight="1" x14ac:dyDescent="0.2">
      <c r="A32" s="616" t="s">
        <v>2</v>
      </c>
      <c r="B32" s="667"/>
      <c r="C32" s="656"/>
      <c r="D32" s="657"/>
      <c r="E32" s="657"/>
      <c r="F32" s="657"/>
      <c r="G32" s="658"/>
      <c r="H32" s="658"/>
      <c r="I32" s="658"/>
      <c r="J32" s="659"/>
      <c r="K32" s="659"/>
      <c r="L32" s="659"/>
      <c r="M32" s="660"/>
    </row>
    <row r="33" spans="1:14" ht="14.1" customHeight="1" x14ac:dyDescent="0.2">
      <c r="A33" s="618" t="s">
        <v>14</v>
      </c>
      <c r="B33" s="646"/>
      <c r="C33" s="679">
        <f>C34/$N$34</f>
        <v>0</v>
      </c>
      <c r="D33" s="680">
        <f t="shared" ref="D33:M33" si="21">D34/$N$34</f>
        <v>0.2212536835312138</v>
      </c>
      <c r="E33" s="680">
        <f t="shared" si="21"/>
        <v>0.2212536835312138</v>
      </c>
      <c r="F33" s="680">
        <f t="shared" si="21"/>
        <v>0</v>
      </c>
      <c r="G33" s="681">
        <f t="shared" si="21"/>
        <v>0.1585065273339398</v>
      </c>
      <c r="H33" s="681">
        <f t="shared" si="21"/>
        <v>0.1585065273339398</v>
      </c>
      <c r="I33" s="681">
        <f t="shared" si="21"/>
        <v>0</v>
      </c>
      <c r="J33" s="682">
        <f t="shared" si="21"/>
        <v>0.1202397891348464</v>
      </c>
      <c r="K33" s="682">
        <f t="shared" si="21"/>
        <v>0.1202397891348464</v>
      </c>
      <c r="L33" s="682">
        <f t="shared" si="21"/>
        <v>0</v>
      </c>
      <c r="M33" s="683">
        <f t="shared" si="21"/>
        <v>0</v>
      </c>
    </row>
    <row r="34" spans="1:14" ht="14.1" customHeight="1" x14ac:dyDescent="0.2">
      <c r="A34" s="618" t="s">
        <v>2</v>
      </c>
      <c r="B34" s="646">
        <v>100</v>
      </c>
      <c r="C34" s="684">
        <f>'Development Schedule'!D20*$B$34</f>
        <v>0</v>
      </c>
      <c r="D34" s="685">
        <f>'Development Schedule'!E20*$B$34</f>
        <v>14228050</v>
      </c>
      <c r="E34" s="685">
        <f>'Development Schedule'!F20*$B$34</f>
        <v>14228050</v>
      </c>
      <c r="F34" s="685">
        <f>'Development Schedule'!G20*$B$34</f>
        <v>0</v>
      </c>
      <c r="G34" s="686">
        <f>'Development Schedule'!H20*$B$34</f>
        <v>10193000</v>
      </c>
      <c r="H34" s="686">
        <f>'Development Schedule'!I20*$B$34</f>
        <v>10193000</v>
      </c>
      <c r="I34" s="686">
        <f>'Development Schedule'!J20*$B$34</f>
        <v>0</v>
      </c>
      <c r="J34" s="687">
        <f>'Development Schedule'!K20*$B$34</f>
        <v>7732200</v>
      </c>
      <c r="K34" s="687">
        <f>'Development Schedule'!L20*$B$34</f>
        <v>7732200</v>
      </c>
      <c r="L34" s="687">
        <f>'Development Schedule'!M20*$B$34</f>
        <v>0</v>
      </c>
      <c r="M34" s="688">
        <f>'Development Schedule'!N20*$B$34</f>
        <v>0</v>
      </c>
      <c r="N34" s="394">
        <f>SUM(C34:M34)</f>
        <v>64306500</v>
      </c>
    </row>
    <row r="35" spans="1:14" ht="14.1" customHeight="1" x14ac:dyDescent="0.2">
      <c r="A35" s="618" t="s">
        <v>15</v>
      </c>
      <c r="B35" s="646"/>
      <c r="C35" s="223"/>
      <c r="D35" s="689"/>
      <c r="E35" s="689"/>
      <c r="F35" s="689"/>
      <c r="G35" s="690"/>
      <c r="H35" s="690"/>
      <c r="I35" s="690"/>
      <c r="J35" s="691"/>
      <c r="K35" s="691"/>
      <c r="L35" s="691"/>
      <c r="M35" s="692"/>
    </row>
    <row r="36" spans="1:14" ht="14.1" customHeight="1" x14ac:dyDescent="0.2">
      <c r="A36" s="621" t="s">
        <v>3</v>
      </c>
      <c r="B36" s="673"/>
      <c r="C36" s="674">
        <f>SUM(C34:C35)</f>
        <v>0</v>
      </c>
      <c r="D36" s="675">
        <f t="shared" ref="D36:M36" si="22">SUM(D34:D35)</f>
        <v>14228050</v>
      </c>
      <c r="E36" s="675">
        <f t="shared" si="22"/>
        <v>14228050</v>
      </c>
      <c r="F36" s="675">
        <f t="shared" si="22"/>
        <v>0</v>
      </c>
      <c r="G36" s="676">
        <f t="shared" si="22"/>
        <v>10193000</v>
      </c>
      <c r="H36" s="676">
        <f t="shared" si="22"/>
        <v>10193000</v>
      </c>
      <c r="I36" s="676">
        <f t="shared" si="22"/>
        <v>0</v>
      </c>
      <c r="J36" s="677">
        <f t="shared" si="22"/>
        <v>7732200</v>
      </c>
      <c r="K36" s="677">
        <f t="shared" si="22"/>
        <v>7732200</v>
      </c>
      <c r="L36" s="677">
        <f t="shared" si="22"/>
        <v>0</v>
      </c>
      <c r="M36" s="678">
        <f t="shared" si="22"/>
        <v>0</v>
      </c>
    </row>
    <row r="37" spans="1:14" ht="18" customHeight="1" x14ac:dyDescent="0.2">
      <c r="A37" s="616" t="s">
        <v>4</v>
      </c>
      <c r="B37" s="667"/>
      <c r="C37" s="668"/>
      <c r="D37" s="669"/>
      <c r="E37" s="669"/>
      <c r="F37" s="669"/>
      <c r="G37" s="670"/>
      <c r="H37" s="670"/>
      <c r="I37" s="670"/>
      <c r="J37" s="671"/>
      <c r="K37" s="671"/>
      <c r="L37" s="671"/>
      <c r="M37" s="672"/>
    </row>
    <row r="38" spans="1:14" ht="14.1" customHeight="1" x14ac:dyDescent="0.2">
      <c r="A38" s="618" t="s">
        <v>5</v>
      </c>
      <c r="B38" s="646"/>
      <c r="C38" s="647">
        <f>C31</f>
        <v>0</v>
      </c>
      <c r="D38" s="182">
        <f t="shared" ref="D38:M38" si="23">D31</f>
        <v>893411.26041702856</v>
      </c>
      <c r="E38" s="182">
        <f t="shared" si="23"/>
        <v>1849234.5766510763</v>
      </c>
      <c r="F38" s="182">
        <f t="shared" si="23"/>
        <v>1913428.385692443</v>
      </c>
      <c r="G38" s="209">
        <f t="shared" si="23"/>
        <v>2688491.0716316267</v>
      </c>
      <c r="H38" s="209">
        <f t="shared" si="23"/>
        <v>3514071.0566537371</v>
      </c>
      <c r="I38" s="209">
        <f t="shared" si="23"/>
        <v>3633912.7772192359</v>
      </c>
      <c r="J38" s="196">
        <f t="shared" si="23"/>
        <v>4351936.323336266</v>
      </c>
      <c r="K38" s="196">
        <f t="shared" si="23"/>
        <v>5113552.9912808174</v>
      </c>
      <c r="L38" s="196">
        <f t="shared" si="23"/>
        <v>5285070.0973421196</v>
      </c>
      <c r="M38" s="648">
        <f t="shared" si="23"/>
        <v>5390771.4992889632</v>
      </c>
    </row>
    <row r="39" spans="1:14" ht="14.1" customHeight="1" x14ac:dyDescent="0.2">
      <c r="A39" s="618" t="s">
        <v>102</v>
      </c>
      <c r="B39" s="646">
        <v>0.1</v>
      </c>
      <c r="C39" s="647"/>
      <c r="D39" s="649"/>
      <c r="E39" s="649"/>
      <c r="F39" s="649"/>
      <c r="G39" s="650"/>
      <c r="H39" s="650"/>
      <c r="I39" s="650"/>
      <c r="J39" s="651"/>
      <c r="K39" s="651"/>
      <c r="L39" s="651"/>
      <c r="M39" s="652">
        <f>M38/B39</f>
        <v>53907714.992889628</v>
      </c>
    </row>
    <row r="40" spans="1:14" ht="14.1" customHeight="1" x14ac:dyDescent="0.2">
      <c r="A40" s="618" t="s">
        <v>103</v>
      </c>
      <c r="B40" s="646">
        <v>0.05</v>
      </c>
      <c r="C40" s="647"/>
      <c r="D40" s="649"/>
      <c r="E40" s="649"/>
      <c r="F40" s="649"/>
      <c r="G40" s="650"/>
      <c r="H40" s="650"/>
      <c r="I40" s="650"/>
      <c r="J40" s="651"/>
      <c r="K40" s="651"/>
      <c r="L40" s="651"/>
      <c r="M40" s="692">
        <f>M39*(-B40)</f>
        <v>-2695385.7496444816</v>
      </c>
    </row>
    <row r="41" spans="1:14" ht="14.1" customHeight="1" x14ac:dyDescent="0.2">
      <c r="A41" s="618" t="s">
        <v>3</v>
      </c>
      <c r="B41" s="646"/>
      <c r="C41" s="693">
        <f>-C36</f>
        <v>0</v>
      </c>
      <c r="D41" s="689">
        <f t="shared" ref="D41:M41" si="24">-D36</f>
        <v>-14228050</v>
      </c>
      <c r="E41" s="689">
        <f t="shared" si="24"/>
        <v>-14228050</v>
      </c>
      <c r="F41" s="689">
        <f t="shared" si="24"/>
        <v>0</v>
      </c>
      <c r="G41" s="690">
        <f t="shared" si="24"/>
        <v>-10193000</v>
      </c>
      <c r="H41" s="690">
        <f t="shared" si="24"/>
        <v>-10193000</v>
      </c>
      <c r="I41" s="690">
        <f t="shared" si="24"/>
        <v>0</v>
      </c>
      <c r="J41" s="691">
        <f t="shared" si="24"/>
        <v>-7732200</v>
      </c>
      <c r="K41" s="691">
        <f t="shared" si="24"/>
        <v>-7732200</v>
      </c>
      <c r="L41" s="691">
        <f t="shared" si="24"/>
        <v>0</v>
      </c>
      <c r="M41" s="692">
        <f t="shared" si="24"/>
        <v>0</v>
      </c>
    </row>
    <row r="42" spans="1:14" ht="14.1" customHeight="1" x14ac:dyDescent="0.2">
      <c r="A42" s="618" t="s">
        <v>6</v>
      </c>
      <c r="B42" s="646"/>
      <c r="C42" s="647">
        <f>SUM(C38:C41)</f>
        <v>0</v>
      </c>
      <c r="D42" s="182">
        <f t="shared" ref="D42:M42" si="25">SUM(D38:D41)</f>
        <v>-13334638.739582971</v>
      </c>
      <c r="E42" s="182">
        <f t="shared" si="25"/>
        <v>-12378815.423348924</v>
      </c>
      <c r="F42" s="182">
        <f t="shared" si="25"/>
        <v>1913428.385692443</v>
      </c>
      <c r="G42" s="209">
        <f t="shared" si="25"/>
        <v>-7504508.9283683728</v>
      </c>
      <c r="H42" s="209">
        <f t="shared" si="25"/>
        <v>-6678928.9433462629</v>
      </c>
      <c r="I42" s="209">
        <f t="shared" si="25"/>
        <v>3633912.7772192359</v>
      </c>
      <c r="J42" s="196">
        <f t="shared" si="25"/>
        <v>-3380263.676663734</v>
      </c>
      <c r="K42" s="196">
        <f t="shared" si="25"/>
        <v>-2618647.0087191826</v>
      </c>
      <c r="L42" s="196">
        <f t="shared" si="25"/>
        <v>5285070.0973421196</v>
      </c>
      <c r="M42" s="648">
        <f t="shared" si="25"/>
        <v>56603100.742534108</v>
      </c>
    </row>
    <row r="43" spans="1:14" ht="14.1" customHeight="1" x14ac:dyDescent="0.2">
      <c r="A43" s="615" t="s">
        <v>39</v>
      </c>
      <c r="B43" s="393">
        <v>0.1</v>
      </c>
      <c r="C43" s="402">
        <f>NPV(B43,C42:M42)</f>
        <v>-6389686.6457127677</v>
      </c>
      <c r="D43" s="396"/>
      <c r="E43" s="396"/>
      <c r="F43" s="396"/>
      <c r="G43" s="400"/>
      <c r="H43" s="400"/>
      <c r="I43" s="400"/>
      <c r="J43" s="398"/>
      <c r="K43" s="398"/>
      <c r="L43" s="398"/>
      <c r="M43" s="620"/>
    </row>
    <row r="44" spans="1:14" ht="18" customHeight="1" x14ac:dyDescent="0.2">
      <c r="A44" s="621" t="s">
        <v>105</v>
      </c>
      <c r="B44" s="302"/>
      <c r="C44" s="627">
        <f>IRR(C42:M42,0)</f>
        <v>6.2044118426552997E-2</v>
      </c>
      <c r="D44" s="396"/>
      <c r="E44" s="396"/>
      <c r="F44" s="396"/>
      <c r="G44" s="400"/>
      <c r="H44" s="400"/>
      <c r="I44" s="400"/>
      <c r="J44" s="398"/>
      <c r="K44" s="398"/>
      <c r="L44" s="398"/>
      <c r="M44" s="620"/>
    </row>
    <row r="45" spans="1:14" ht="18" customHeight="1" thickBot="1" x14ac:dyDescent="0.25">
      <c r="A45" s="622" t="s">
        <v>90</v>
      </c>
      <c r="B45" s="628"/>
      <c r="C45" s="629"/>
      <c r="D45" s="623"/>
      <c r="E45" s="623"/>
      <c r="F45" s="623"/>
      <c r="G45" s="624"/>
      <c r="H45" s="624"/>
      <c r="I45" s="624"/>
      <c r="J45" s="625"/>
      <c r="K45" s="625"/>
      <c r="L45" s="625"/>
      <c r="M45" s="626"/>
    </row>
  </sheetData>
  <phoneticPr fontId="2" type="noConversion"/>
  <pageMargins left="0.5" right="0.5" top="1" bottom="0.5" header="0.5" footer="0.5"/>
  <pageSetup paperSize="4" orientation="landscape" r:id="rId1"/>
  <headerFooter alignWithMargins="0">
    <oddHeader>&amp;L&amp;"Arial,Bold"10. Income Statement: Structured Parking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view="pageLayout" topLeftCell="A10" zoomScaleNormal="100" workbookViewId="0">
      <selection sqref="A1:B1"/>
    </sheetView>
  </sheetViews>
  <sheetFormatPr defaultColWidth="9.140625" defaultRowHeight="12.75" x14ac:dyDescent="0.2"/>
  <cols>
    <col min="1" max="1" width="23.42578125" style="1" customWidth="1"/>
    <col min="2" max="3" width="8.42578125" style="3" customWidth="1"/>
    <col min="4" max="13" width="8.42578125" style="1" customWidth="1"/>
    <col min="14" max="16384" width="9.140625" style="1"/>
  </cols>
  <sheetData>
    <row r="1" spans="1:13" ht="14.1" customHeight="1" x14ac:dyDescent="0.25">
      <c r="A1" s="92" t="s">
        <v>71</v>
      </c>
      <c r="B1" s="94">
        <v>198923</v>
      </c>
      <c r="L1" s="38" t="s">
        <v>71</v>
      </c>
      <c r="M1" s="39">
        <v>198923</v>
      </c>
    </row>
    <row r="2" spans="1:13" ht="14.1" customHeight="1" x14ac:dyDescent="0.2"/>
    <row r="3" spans="1:13" ht="14.1" customHeight="1" x14ac:dyDescent="0.2">
      <c r="C3" s="3" t="s">
        <v>100</v>
      </c>
      <c r="D3" s="42" t="s">
        <v>56</v>
      </c>
      <c r="E3" s="42"/>
      <c r="F3" s="42"/>
      <c r="G3" s="42"/>
      <c r="H3" s="42"/>
      <c r="I3" s="42"/>
      <c r="J3" s="42"/>
      <c r="K3" s="42"/>
      <c r="L3" s="42"/>
      <c r="M3" s="42"/>
    </row>
    <row r="4" spans="1:13" ht="14.1" customHeight="1" x14ac:dyDescent="0.2">
      <c r="A4" s="5"/>
      <c r="B4" s="20" t="s">
        <v>28</v>
      </c>
      <c r="C4" s="20" t="s">
        <v>118</v>
      </c>
      <c r="D4" s="20">
        <v>2021</v>
      </c>
      <c r="E4" s="20">
        <f t="shared" ref="E4:M4" si="0">D4+1</f>
        <v>2022</v>
      </c>
      <c r="F4" s="20">
        <f t="shared" si="0"/>
        <v>2023</v>
      </c>
      <c r="G4" s="20">
        <f t="shared" si="0"/>
        <v>2024</v>
      </c>
      <c r="H4" s="20">
        <f t="shared" si="0"/>
        <v>2025</v>
      </c>
      <c r="I4" s="20">
        <f t="shared" si="0"/>
        <v>2026</v>
      </c>
      <c r="J4" s="20">
        <f t="shared" si="0"/>
        <v>2027</v>
      </c>
      <c r="K4" s="20">
        <f t="shared" si="0"/>
        <v>2028</v>
      </c>
      <c r="L4" s="20">
        <f t="shared" si="0"/>
        <v>2029</v>
      </c>
      <c r="M4" s="20">
        <f t="shared" si="0"/>
        <v>2030</v>
      </c>
    </row>
    <row r="5" spans="1:13" ht="18" customHeight="1" x14ac:dyDescent="0.2">
      <c r="A5" s="14" t="s">
        <v>16</v>
      </c>
      <c r="B5" s="37"/>
      <c r="C5" s="37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ht="14.1" customHeight="1" x14ac:dyDescent="0.2">
      <c r="A6" s="13" t="s">
        <v>12</v>
      </c>
      <c r="B6" s="16">
        <v>0.02</v>
      </c>
      <c r="C6" s="16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14.1" customHeight="1" x14ac:dyDescent="0.2">
      <c r="A7" s="13" t="s">
        <v>41</v>
      </c>
      <c r="B7" s="12"/>
      <c r="C7" s="12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3" ht="14.1" customHeight="1" x14ac:dyDescent="0.2">
      <c r="A8" s="13" t="s">
        <v>21</v>
      </c>
      <c r="B8" s="12"/>
      <c r="C8" s="12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13" ht="14.1" customHeight="1" x14ac:dyDescent="0.2">
      <c r="A9" s="11" t="s">
        <v>29</v>
      </c>
      <c r="B9" s="12"/>
      <c r="C9" s="12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3" ht="14.1" customHeight="1" x14ac:dyDescent="0.2">
      <c r="A10" s="11" t="s">
        <v>30</v>
      </c>
      <c r="B10" s="12"/>
      <c r="C10" s="12"/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spans="1:13" ht="14.1" customHeight="1" x14ac:dyDescent="0.2">
      <c r="A11" s="11" t="s">
        <v>31</v>
      </c>
      <c r="B11" s="12"/>
      <c r="C11" s="12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13" ht="14.1" customHeight="1" x14ac:dyDescent="0.2">
      <c r="A12" s="13" t="s">
        <v>22</v>
      </c>
      <c r="B12" s="12"/>
      <c r="C12" s="12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pans="1:13" ht="14.1" customHeight="1" x14ac:dyDescent="0.2">
      <c r="A13" s="11" t="s">
        <v>32</v>
      </c>
      <c r="B13" s="12"/>
      <c r="C13" s="12"/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spans="1:13" ht="14.1" customHeight="1" x14ac:dyDescent="0.2">
      <c r="A14" s="11" t="s">
        <v>33</v>
      </c>
      <c r="B14" s="12"/>
      <c r="C14" s="12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3" ht="14.1" customHeight="1" x14ac:dyDescent="0.2">
      <c r="A15" s="11" t="s">
        <v>34</v>
      </c>
      <c r="B15" s="12"/>
      <c r="C15" s="12"/>
      <c r="D15" s="13"/>
      <c r="E15" s="13"/>
      <c r="F15" s="13"/>
      <c r="G15" s="13"/>
      <c r="H15" s="13"/>
      <c r="I15" s="13"/>
      <c r="J15" s="13"/>
      <c r="K15" s="13"/>
      <c r="L15" s="13"/>
      <c r="M15" s="13"/>
    </row>
    <row r="16" spans="1:13" ht="14.1" customHeight="1" x14ac:dyDescent="0.2">
      <c r="A16" s="11" t="s">
        <v>35</v>
      </c>
      <c r="B16" s="12"/>
      <c r="C16" s="12"/>
      <c r="D16" s="13"/>
      <c r="E16" s="13"/>
      <c r="F16" s="13"/>
      <c r="G16" s="13"/>
      <c r="H16" s="13"/>
      <c r="I16" s="13"/>
      <c r="J16" s="13"/>
      <c r="K16" s="13"/>
      <c r="L16" s="13"/>
      <c r="M16" s="13"/>
    </row>
    <row r="17" spans="1:13" ht="14.1" customHeight="1" x14ac:dyDescent="0.2">
      <c r="A17" s="11" t="s">
        <v>36</v>
      </c>
      <c r="B17" s="12"/>
      <c r="C17" s="12"/>
      <c r="D17" s="13"/>
      <c r="E17" s="13"/>
      <c r="F17" s="13"/>
      <c r="G17" s="13"/>
      <c r="H17" s="13"/>
      <c r="I17" s="13"/>
      <c r="J17" s="13"/>
      <c r="K17" s="13"/>
      <c r="L17" s="13"/>
      <c r="M17" s="13"/>
    </row>
    <row r="18" spans="1:13" ht="14.1" customHeight="1" x14ac:dyDescent="0.2">
      <c r="A18" s="11" t="s">
        <v>34</v>
      </c>
      <c r="B18" s="12"/>
      <c r="C18" s="12"/>
      <c r="D18" s="13"/>
      <c r="E18" s="13"/>
      <c r="F18" s="13"/>
      <c r="G18" s="13"/>
      <c r="H18" s="13"/>
      <c r="I18" s="13"/>
      <c r="J18" s="13"/>
      <c r="K18" s="13"/>
      <c r="L18" s="13"/>
      <c r="M18" s="13"/>
    </row>
    <row r="19" spans="1:13" ht="14.1" customHeight="1" x14ac:dyDescent="0.2">
      <c r="A19" s="11" t="s">
        <v>35</v>
      </c>
      <c r="B19" s="12"/>
      <c r="C19" s="12"/>
      <c r="D19" s="13"/>
      <c r="E19" s="13"/>
      <c r="F19" s="13"/>
      <c r="G19" s="13"/>
      <c r="H19" s="13"/>
      <c r="I19" s="13"/>
      <c r="J19" s="13"/>
      <c r="K19" s="13"/>
      <c r="L19" s="13"/>
      <c r="M19" s="13"/>
    </row>
    <row r="20" spans="1:13" ht="14.1" customHeight="1" x14ac:dyDescent="0.2">
      <c r="A20" s="11" t="s">
        <v>37</v>
      </c>
      <c r="B20" s="12"/>
      <c r="C20" s="12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1:13" ht="14.1" customHeight="1" x14ac:dyDescent="0.2">
      <c r="A21" s="13" t="s">
        <v>23</v>
      </c>
      <c r="B21" s="12"/>
      <c r="C21" s="12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1:13" ht="14.1" customHeight="1" x14ac:dyDescent="0.2">
      <c r="A22" s="22" t="s">
        <v>38</v>
      </c>
      <c r="B22" s="4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ht="18" customHeight="1" x14ac:dyDescent="0.2">
      <c r="A23" s="14" t="s">
        <v>5</v>
      </c>
      <c r="B23" s="37"/>
      <c r="C23" s="37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14.1" customHeight="1" x14ac:dyDescent="0.2">
      <c r="A24" s="13" t="s">
        <v>24</v>
      </c>
      <c r="B24" s="12"/>
      <c r="C24" s="12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13" ht="14.1" customHeight="1" x14ac:dyDescent="0.2">
      <c r="A25" s="11" t="s">
        <v>25</v>
      </c>
      <c r="B25" s="12"/>
      <c r="C25" s="12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1:13" ht="14.1" customHeight="1" x14ac:dyDescent="0.2">
      <c r="A26" s="11" t="s">
        <v>26</v>
      </c>
      <c r="B26" s="12"/>
      <c r="C26" s="12"/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1:13" ht="14.1" customHeight="1" x14ac:dyDescent="0.2">
      <c r="A27" s="13" t="s">
        <v>27</v>
      </c>
      <c r="B27" s="12"/>
      <c r="C27" s="12"/>
      <c r="D27" s="13"/>
      <c r="E27" s="13"/>
      <c r="F27" s="13"/>
      <c r="G27" s="13"/>
      <c r="H27" s="13"/>
      <c r="I27" s="13"/>
      <c r="J27" s="13"/>
      <c r="K27" s="13"/>
      <c r="L27" s="13"/>
      <c r="M27" s="13"/>
    </row>
    <row r="28" spans="1:13" ht="14.1" customHeight="1" x14ac:dyDescent="0.2">
      <c r="A28" s="13" t="s">
        <v>23</v>
      </c>
      <c r="B28" s="12"/>
      <c r="C28" s="12"/>
      <c r="D28" s="13"/>
      <c r="E28" s="13"/>
      <c r="F28" s="13"/>
      <c r="G28" s="13"/>
      <c r="H28" s="13"/>
      <c r="I28" s="13"/>
      <c r="J28" s="13"/>
      <c r="K28" s="13"/>
      <c r="L28" s="13"/>
      <c r="M28" s="13"/>
    </row>
    <row r="29" spans="1:13" ht="14.1" customHeight="1" x14ac:dyDescent="0.2">
      <c r="A29" s="5" t="s">
        <v>5</v>
      </c>
      <c r="B29" s="4"/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ht="18" customHeight="1" x14ac:dyDescent="0.2">
      <c r="A30" s="14" t="s">
        <v>2</v>
      </c>
      <c r="B30" s="37"/>
      <c r="C30" s="37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ht="14.1" customHeight="1" x14ac:dyDescent="0.2">
      <c r="A31" s="13" t="s">
        <v>14</v>
      </c>
      <c r="B31" s="12"/>
      <c r="C31" s="12"/>
      <c r="D31" s="13"/>
      <c r="E31" s="13"/>
      <c r="F31" s="13"/>
      <c r="G31" s="13"/>
      <c r="H31" s="13"/>
      <c r="I31" s="13"/>
      <c r="J31" s="13"/>
      <c r="K31" s="13"/>
      <c r="L31" s="13"/>
      <c r="M31" s="13"/>
    </row>
    <row r="32" spans="1:13" ht="14.1" customHeight="1" x14ac:dyDescent="0.2">
      <c r="A32" s="13" t="s">
        <v>2</v>
      </c>
      <c r="B32" s="12"/>
      <c r="C32" s="12"/>
      <c r="D32" s="13"/>
      <c r="E32" s="13"/>
      <c r="F32" s="13"/>
      <c r="G32" s="13"/>
      <c r="H32" s="13"/>
      <c r="I32" s="13"/>
      <c r="J32" s="13"/>
      <c r="K32" s="13"/>
      <c r="L32" s="13"/>
      <c r="M32" s="13"/>
    </row>
    <row r="33" spans="1:13" ht="14.1" customHeight="1" x14ac:dyDescent="0.2">
      <c r="A33" s="13" t="s">
        <v>15</v>
      </c>
      <c r="B33" s="12"/>
      <c r="C33" s="12"/>
      <c r="D33" s="13"/>
      <c r="E33" s="13"/>
      <c r="F33" s="13"/>
      <c r="G33" s="13"/>
      <c r="H33" s="13"/>
      <c r="I33" s="13"/>
      <c r="J33" s="13"/>
      <c r="K33" s="13"/>
      <c r="L33" s="13"/>
      <c r="M33" s="13"/>
    </row>
    <row r="34" spans="1:13" ht="14.1" customHeight="1" x14ac:dyDescent="0.2">
      <c r="A34" s="5" t="s">
        <v>3</v>
      </c>
      <c r="B34" s="4"/>
      <c r="C34" s="4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ht="18" customHeight="1" x14ac:dyDescent="0.2">
      <c r="A35" s="14" t="s">
        <v>4</v>
      </c>
      <c r="B35" s="37"/>
      <c r="C35" s="37"/>
      <c r="D35" s="15"/>
      <c r="E35" s="15"/>
      <c r="F35" s="15"/>
      <c r="G35" s="15"/>
      <c r="H35" s="15"/>
      <c r="I35" s="15"/>
      <c r="J35" s="15"/>
      <c r="K35" s="15"/>
      <c r="L35" s="15"/>
      <c r="M35" s="15"/>
    </row>
    <row r="36" spans="1:13" ht="14.1" customHeight="1" x14ac:dyDescent="0.2">
      <c r="A36" s="13" t="s">
        <v>5</v>
      </c>
      <c r="B36" s="12"/>
      <c r="C36" s="12"/>
      <c r="D36" s="13"/>
      <c r="E36" s="13"/>
      <c r="F36" s="13"/>
      <c r="G36" s="13"/>
      <c r="H36" s="13"/>
      <c r="I36" s="13"/>
      <c r="J36" s="13"/>
      <c r="K36" s="13"/>
      <c r="L36" s="13"/>
      <c r="M36" s="13"/>
    </row>
    <row r="37" spans="1:13" ht="14.1" customHeight="1" x14ac:dyDescent="0.2">
      <c r="A37" s="13" t="s">
        <v>102</v>
      </c>
      <c r="B37" s="12"/>
      <c r="C37" s="12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1:13" ht="14.1" customHeight="1" x14ac:dyDescent="0.2">
      <c r="A38" s="13" t="s">
        <v>103</v>
      </c>
      <c r="B38" s="12"/>
      <c r="C38" s="12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1:13" ht="14.1" customHeight="1" x14ac:dyDescent="0.2">
      <c r="A39" s="13" t="s">
        <v>3</v>
      </c>
      <c r="B39" s="12"/>
      <c r="C39" s="12"/>
      <c r="D39" s="13"/>
      <c r="E39" s="13"/>
      <c r="F39" s="13"/>
      <c r="G39" s="13"/>
      <c r="H39" s="13"/>
      <c r="I39" s="13"/>
      <c r="J39" s="13"/>
      <c r="K39" s="13"/>
      <c r="L39" s="13"/>
      <c r="M39" s="13"/>
    </row>
    <row r="40" spans="1:13" ht="14.1" customHeight="1" x14ac:dyDescent="0.2">
      <c r="A40" s="13" t="s">
        <v>6</v>
      </c>
      <c r="B40" s="12"/>
      <c r="C40" s="12"/>
      <c r="D40" s="13"/>
      <c r="E40" s="13"/>
      <c r="F40" s="13"/>
      <c r="G40" s="13"/>
      <c r="H40" s="13"/>
      <c r="I40" s="13"/>
      <c r="J40" s="13"/>
      <c r="K40" s="13"/>
      <c r="L40" s="13"/>
      <c r="M40" s="13"/>
    </row>
    <row r="41" spans="1:13" ht="14.1" customHeight="1" x14ac:dyDescent="0.2">
      <c r="A41" s="5" t="s">
        <v>39</v>
      </c>
      <c r="B41" s="6"/>
      <c r="C41" s="6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ht="18" customHeight="1" x14ac:dyDescent="0.2">
      <c r="A42" s="7" t="s">
        <v>105</v>
      </c>
      <c r="B42" s="4"/>
      <c r="C42" s="4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ht="18" customHeight="1" x14ac:dyDescent="0.2">
      <c r="A43" s="7" t="s">
        <v>90</v>
      </c>
      <c r="B43" s="4"/>
      <c r="C43" s="4"/>
      <c r="D43" s="5"/>
      <c r="E43" s="5"/>
      <c r="F43" s="5"/>
      <c r="G43" s="5"/>
      <c r="H43" s="5"/>
      <c r="I43" s="5"/>
      <c r="J43" s="5"/>
      <c r="K43" s="5"/>
      <c r="L43" s="5"/>
      <c r="M43" s="5"/>
    </row>
  </sheetData>
  <phoneticPr fontId="2" type="noConversion"/>
  <pageMargins left="0.5" right="0.5" top="1" bottom="0.5" header="0.5" footer="0.5"/>
  <pageSetup orientation="landscape" r:id="rId1"/>
  <headerFooter alignWithMargins="0">
    <oddHeader>&amp;L&amp;"Arial,Bold"11. Income Statement: Surface Parking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0"/>
  <sheetViews>
    <sheetView topLeftCell="A16" zoomScaleNormal="100" workbookViewId="0">
      <selection activeCell="F49" sqref="F49"/>
    </sheetView>
  </sheetViews>
  <sheetFormatPr defaultColWidth="11.42578125" defaultRowHeight="12.75" x14ac:dyDescent="0.2"/>
  <cols>
    <col min="1" max="1" width="25.85546875" customWidth="1"/>
    <col min="2" max="2" width="14.7109375" customWidth="1"/>
    <col min="3" max="13" width="14.85546875" customWidth="1"/>
  </cols>
  <sheetData>
    <row r="1" spans="1:13" ht="14.25" thickBot="1" x14ac:dyDescent="0.3">
      <c r="A1" s="92"/>
      <c r="B1" s="94"/>
      <c r="C1" s="56"/>
      <c r="D1" s="56"/>
      <c r="E1" s="56"/>
      <c r="F1" s="56"/>
      <c r="G1" s="56"/>
      <c r="H1" s="56"/>
      <c r="I1" s="56"/>
      <c r="J1" s="56"/>
      <c r="K1" s="56"/>
      <c r="L1" s="489"/>
      <c r="M1" s="490"/>
    </row>
    <row r="2" spans="1:13" x14ac:dyDescent="0.2">
      <c r="A2" s="447" t="s">
        <v>286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54" t="s">
        <v>71</v>
      </c>
      <c r="M2" s="815">
        <v>198923</v>
      </c>
    </row>
    <row r="3" spans="1:13" x14ac:dyDescent="0.2">
      <c r="A3" s="491"/>
      <c r="B3" s="800" t="s">
        <v>100</v>
      </c>
      <c r="C3" s="781" t="s">
        <v>56</v>
      </c>
      <c r="D3" s="782"/>
      <c r="E3" s="782"/>
      <c r="F3" s="771" t="s">
        <v>124</v>
      </c>
      <c r="G3" s="769"/>
      <c r="H3" s="770"/>
      <c r="I3" s="759" t="s">
        <v>125</v>
      </c>
      <c r="J3" s="759"/>
      <c r="K3" s="760"/>
      <c r="L3" s="760"/>
      <c r="M3" s="791"/>
    </row>
    <row r="4" spans="1:13" x14ac:dyDescent="0.2">
      <c r="A4" s="491"/>
      <c r="B4" s="800">
        <v>0</v>
      </c>
      <c r="C4" s="783">
        <f>B4+1</f>
        <v>1</v>
      </c>
      <c r="D4" s="783">
        <f t="shared" ref="D4:L5" si="0">C4+1</f>
        <v>2</v>
      </c>
      <c r="E4" s="783">
        <f t="shared" si="0"/>
        <v>3</v>
      </c>
      <c r="F4" s="773">
        <f t="shared" si="0"/>
        <v>4</v>
      </c>
      <c r="G4" s="772">
        <f t="shared" si="0"/>
        <v>5</v>
      </c>
      <c r="H4" s="773">
        <f t="shared" si="0"/>
        <v>6</v>
      </c>
      <c r="I4" s="761">
        <f t="shared" si="0"/>
        <v>7</v>
      </c>
      <c r="J4" s="761">
        <f t="shared" si="0"/>
        <v>8</v>
      </c>
      <c r="K4" s="761">
        <f t="shared" si="0"/>
        <v>9</v>
      </c>
      <c r="L4" s="761">
        <f t="shared" si="0"/>
        <v>10</v>
      </c>
      <c r="M4" s="791"/>
    </row>
    <row r="5" spans="1:13" x14ac:dyDescent="0.2">
      <c r="A5" s="491"/>
      <c r="B5" s="800" t="s">
        <v>118</v>
      </c>
      <c r="C5" s="783">
        <v>2021</v>
      </c>
      <c r="D5" s="783">
        <f>C5+1</f>
        <v>2022</v>
      </c>
      <c r="E5" s="783">
        <f t="shared" si="0"/>
        <v>2023</v>
      </c>
      <c r="F5" s="773">
        <f t="shared" si="0"/>
        <v>2024</v>
      </c>
      <c r="G5" s="773">
        <f t="shared" si="0"/>
        <v>2025</v>
      </c>
      <c r="H5" s="773">
        <f t="shared" si="0"/>
        <v>2026</v>
      </c>
      <c r="I5" s="761">
        <f t="shared" si="0"/>
        <v>2027</v>
      </c>
      <c r="J5" s="761">
        <f t="shared" si="0"/>
        <v>2028</v>
      </c>
      <c r="K5" s="761">
        <f>J5+1</f>
        <v>2029</v>
      </c>
      <c r="L5" s="761">
        <f>K5+1</f>
        <v>2030</v>
      </c>
      <c r="M5" s="792" t="s">
        <v>48</v>
      </c>
    </row>
    <row r="6" spans="1:13" x14ac:dyDescent="0.2">
      <c r="A6" s="492" t="s">
        <v>169</v>
      </c>
      <c r="B6" s="801">
        <v>0.06</v>
      </c>
      <c r="C6" s="784"/>
      <c r="D6" s="784"/>
      <c r="E6" s="784"/>
      <c r="F6" s="774"/>
      <c r="G6" s="774"/>
      <c r="H6" s="774"/>
      <c r="I6" s="762"/>
      <c r="J6" s="762"/>
      <c r="K6" s="762"/>
      <c r="L6" s="762"/>
      <c r="M6" s="793"/>
    </row>
    <row r="7" spans="1:13" x14ac:dyDescent="0.2">
      <c r="A7" s="492" t="s">
        <v>119</v>
      </c>
      <c r="B7" s="801">
        <v>0.09</v>
      </c>
      <c r="C7" s="784"/>
      <c r="D7" s="784"/>
      <c r="E7" s="784"/>
      <c r="F7" s="774"/>
      <c r="G7" s="774"/>
      <c r="H7" s="774"/>
      <c r="I7" s="762"/>
      <c r="J7" s="762"/>
      <c r="K7" s="762"/>
      <c r="L7" s="762"/>
      <c r="M7" s="793"/>
    </row>
    <row r="8" spans="1:13" x14ac:dyDescent="0.2">
      <c r="A8" s="492" t="s">
        <v>148</v>
      </c>
      <c r="B8" s="802">
        <f>'Summary Board'!E105</f>
        <v>64491500</v>
      </c>
      <c r="C8" s="785"/>
      <c r="D8" s="785"/>
      <c r="E8" s="785"/>
      <c r="F8" s="775"/>
      <c r="G8" s="775"/>
      <c r="H8" s="775"/>
      <c r="I8" s="763"/>
      <c r="J8" s="763"/>
      <c r="K8" s="763"/>
      <c r="L8" s="763"/>
      <c r="M8" s="794">
        <f>SUM(B8:L8)</f>
        <v>64491500</v>
      </c>
    </row>
    <row r="9" spans="1:13" x14ac:dyDescent="0.2">
      <c r="A9" s="492" t="s">
        <v>146</v>
      </c>
      <c r="B9" s="803">
        <f>'Summary Board'!L105</f>
        <v>0</v>
      </c>
      <c r="C9" s="786"/>
      <c r="D9" s="786"/>
      <c r="E9" s="786"/>
      <c r="F9" s="776"/>
      <c r="G9" s="776"/>
      <c r="H9" s="776"/>
      <c r="I9" s="764"/>
      <c r="J9" s="764"/>
      <c r="K9" s="764"/>
      <c r="L9" s="764"/>
      <c r="M9" s="795">
        <f>SUM(B9:L9)</f>
        <v>0</v>
      </c>
    </row>
    <row r="10" spans="1:13" x14ac:dyDescent="0.2">
      <c r="A10" s="492" t="s">
        <v>149</v>
      </c>
      <c r="B10" s="803">
        <f>C44</f>
        <v>1034712529.2263689</v>
      </c>
      <c r="C10" s="786">
        <f>'Summary Board'!C33</f>
        <v>64491500</v>
      </c>
      <c r="D10" s="786">
        <f>'Summary Board'!D33</f>
        <v>258081738.82000002</v>
      </c>
      <c r="E10" s="786">
        <f>'Summary Board'!E33</f>
        <v>219971475.72309998</v>
      </c>
      <c r="F10" s="776">
        <f>'Summary Board'!F33</f>
        <v>0</v>
      </c>
      <c r="G10" s="776">
        <f>'Summary Board'!G33</f>
        <v>235698227.54425162</v>
      </c>
      <c r="H10" s="776">
        <f>'Summary Board'!H33</f>
        <v>190152852.09513664</v>
      </c>
      <c r="I10" s="764">
        <f>'Summary Board'!I33</f>
        <v>0</v>
      </c>
      <c r="J10" s="764">
        <f>'Summary Board'!J33</f>
        <v>56438128.827930771</v>
      </c>
      <c r="K10" s="764">
        <f>'Summary Board'!K33</f>
        <v>57412247.404489391</v>
      </c>
      <c r="L10" s="764">
        <f>'Summary Board'!L33</f>
        <v>0</v>
      </c>
      <c r="M10" s="795">
        <f>SUM(B10:L10)</f>
        <v>2116958699.6412771</v>
      </c>
    </row>
    <row r="11" spans="1:13" x14ac:dyDescent="0.2">
      <c r="A11" s="492" t="s">
        <v>150</v>
      </c>
      <c r="B11" s="803">
        <f>C47*0.01</f>
        <v>7144826.1899713986</v>
      </c>
      <c r="C11" s="786">
        <v>0</v>
      </c>
      <c r="D11" s="786">
        <f>C11</f>
        <v>0</v>
      </c>
      <c r="E11" s="786">
        <f t="shared" ref="E11:L11" si="1">D11</f>
        <v>0</v>
      </c>
      <c r="F11" s="776">
        <f t="shared" si="1"/>
        <v>0</v>
      </c>
      <c r="G11" s="776">
        <f t="shared" si="1"/>
        <v>0</v>
      </c>
      <c r="H11" s="776">
        <f t="shared" si="1"/>
        <v>0</v>
      </c>
      <c r="I11" s="764">
        <f t="shared" si="1"/>
        <v>0</v>
      </c>
      <c r="J11" s="764">
        <f t="shared" si="1"/>
        <v>0</v>
      </c>
      <c r="K11" s="764">
        <f t="shared" si="1"/>
        <v>0</v>
      </c>
      <c r="L11" s="764">
        <f t="shared" si="1"/>
        <v>0</v>
      </c>
      <c r="M11" s="795">
        <f>SUM(B11:L11)</f>
        <v>7144826.1899713986</v>
      </c>
    </row>
    <row r="12" spans="1:13" x14ac:dyDescent="0.2">
      <c r="A12" s="493" t="s">
        <v>3</v>
      </c>
      <c r="B12" s="804">
        <f>SUM(B8:B11)</f>
        <v>1106348855.4163404</v>
      </c>
      <c r="C12" s="787">
        <f t="shared" ref="C12:K12" si="2">SUM(C8:C11)</f>
        <v>64491500</v>
      </c>
      <c r="D12" s="787">
        <f t="shared" si="2"/>
        <v>258081738.82000002</v>
      </c>
      <c r="E12" s="787">
        <f t="shared" si="2"/>
        <v>219971475.72309998</v>
      </c>
      <c r="F12" s="777">
        <f t="shared" si="2"/>
        <v>0</v>
      </c>
      <c r="G12" s="777">
        <f t="shared" si="2"/>
        <v>235698227.54425162</v>
      </c>
      <c r="H12" s="777">
        <f t="shared" si="2"/>
        <v>190152852.09513664</v>
      </c>
      <c r="I12" s="765">
        <f t="shared" si="2"/>
        <v>0</v>
      </c>
      <c r="J12" s="765">
        <f t="shared" si="2"/>
        <v>56438128.827930771</v>
      </c>
      <c r="K12" s="765">
        <f t="shared" si="2"/>
        <v>57412247.404489391</v>
      </c>
      <c r="L12" s="765">
        <f>SUM(L8:L11)</f>
        <v>0</v>
      </c>
      <c r="M12" s="796">
        <f>SUM(M8:M11)</f>
        <v>2188595025.8312488</v>
      </c>
    </row>
    <row r="13" spans="1:13" x14ac:dyDescent="0.2">
      <c r="A13" s="492"/>
      <c r="B13" s="805"/>
      <c r="C13" s="788"/>
      <c r="D13" s="788"/>
      <c r="E13" s="788"/>
      <c r="F13" s="778"/>
      <c r="G13" s="778"/>
      <c r="H13" s="778"/>
      <c r="I13" s="766"/>
      <c r="J13" s="766"/>
      <c r="K13" s="766"/>
      <c r="L13" s="766"/>
      <c r="M13" s="797"/>
    </row>
    <row r="14" spans="1:13" x14ac:dyDescent="0.2">
      <c r="A14" s="492" t="s">
        <v>151</v>
      </c>
      <c r="B14" s="805"/>
      <c r="C14" s="788"/>
      <c r="D14" s="788"/>
      <c r="E14" s="788"/>
      <c r="F14" s="778"/>
      <c r="G14" s="778"/>
      <c r="H14" s="778"/>
      <c r="I14" s="766"/>
      <c r="J14" s="766"/>
      <c r="K14" s="766"/>
      <c r="L14" s="766"/>
      <c r="M14" s="797"/>
    </row>
    <row r="15" spans="1:13" x14ac:dyDescent="0.2">
      <c r="A15" s="492" t="s">
        <v>152</v>
      </c>
      <c r="B15" s="802">
        <f>C48</f>
        <v>164880604.38395533</v>
      </c>
      <c r="C15" s="785"/>
      <c r="D15" s="785"/>
      <c r="E15" s="785"/>
      <c r="F15" s="775"/>
      <c r="G15" s="775"/>
      <c r="H15" s="775"/>
      <c r="I15" s="763"/>
      <c r="J15" s="763"/>
      <c r="K15" s="763"/>
      <c r="L15" s="763"/>
      <c r="M15" s="794">
        <f>SUM(B15:L15)</f>
        <v>164880604.38395533</v>
      </c>
    </row>
    <row r="16" spans="1:13" x14ac:dyDescent="0.2">
      <c r="A16" s="492"/>
      <c r="B16" s="802"/>
      <c r="C16" s="785"/>
      <c r="D16" s="785"/>
      <c r="E16" s="785"/>
      <c r="F16" s="775"/>
      <c r="G16" s="775"/>
      <c r="H16" s="775"/>
      <c r="I16" s="763"/>
      <c r="J16" s="763"/>
      <c r="K16" s="763"/>
      <c r="L16" s="763"/>
      <c r="M16" s="794"/>
    </row>
    <row r="17" spans="1:28" x14ac:dyDescent="0.2">
      <c r="A17" s="492" t="s">
        <v>153</v>
      </c>
      <c r="B17" s="802">
        <f>C47</f>
        <v>714482618.99713981</v>
      </c>
      <c r="C17" s="785">
        <f>C12-C15</f>
        <v>64491500</v>
      </c>
      <c r="D17" s="785">
        <f>D12-D15</f>
        <v>258081738.82000002</v>
      </c>
      <c r="E17" s="785">
        <f t="shared" ref="E17:L17" si="3">E12-E15</f>
        <v>219971475.72309998</v>
      </c>
      <c r="F17" s="775">
        <f t="shared" si="3"/>
        <v>0</v>
      </c>
      <c r="G17" s="775">
        <f t="shared" si="3"/>
        <v>235698227.54425162</v>
      </c>
      <c r="H17" s="775">
        <f t="shared" si="3"/>
        <v>190152852.09513664</v>
      </c>
      <c r="I17" s="763">
        <f t="shared" si="3"/>
        <v>0</v>
      </c>
      <c r="J17" s="763">
        <f t="shared" si="3"/>
        <v>56438128.827930771</v>
      </c>
      <c r="K17" s="763">
        <f t="shared" si="3"/>
        <v>57412247.404489391</v>
      </c>
      <c r="L17" s="763">
        <f t="shared" si="3"/>
        <v>0</v>
      </c>
      <c r="M17" s="794">
        <f>SUM(B17:L17)</f>
        <v>1796728789.4120481</v>
      </c>
    </row>
    <row r="18" spans="1:28" x14ac:dyDescent="0.2">
      <c r="A18" s="492" t="s">
        <v>154</v>
      </c>
      <c r="B18" s="803">
        <f>SUM($B$17:B17)</f>
        <v>714482618.99713981</v>
      </c>
      <c r="C18" s="786">
        <f>SUM($B$17:C17)</f>
        <v>778974118.99713981</v>
      </c>
      <c r="D18" s="786">
        <f>SUM($B$17:D17)</f>
        <v>1037055857.8171399</v>
      </c>
      <c r="E18" s="786">
        <f>SUM($B$17:E17)</f>
        <v>1257027333.5402398</v>
      </c>
      <c r="F18" s="776">
        <f>SUM($B$17:F17)</f>
        <v>1257027333.5402398</v>
      </c>
      <c r="G18" s="776">
        <f>SUM($B$17:G17)</f>
        <v>1492725561.0844915</v>
      </c>
      <c r="H18" s="776">
        <f>SUM($B$17:H17)</f>
        <v>1682878413.1796281</v>
      </c>
      <c r="I18" s="764">
        <f>SUM($B$17:I17)</f>
        <v>1682878413.1796281</v>
      </c>
      <c r="J18" s="764">
        <f>SUM($B$17:J17)</f>
        <v>1739316542.0075588</v>
      </c>
      <c r="K18" s="764">
        <f>SUM($B$17:K17)</f>
        <v>1796728789.4120481</v>
      </c>
      <c r="L18" s="764">
        <f>SUM($B$17:L17)</f>
        <v>1796728789.4120481</v>
      </c>
      <c r="M18" s="797"/>
    </row>
    <row r="19" spans="1:28" x14ac:dyDescent="0.2">
      <c r="A19" s="492"/>
      <c r="B19" s="805"/>
      <c r="C19" s="788"/>
      <c r="D19" s="788"/>
      <c r="E19" s="788"/>
      <c r="F19" s="778"/>
      <c r="G19" s="778"/>
      <c r="H19" s="778"/>
      <c r="I19" s="766"/>
      <c r="J19" s="766"/>
      <c r="K19" s="766"/>
      <c r="L19" s="766"/>
      <c r="M19" s="797"/>
    </row>
    <row r="20" spans="1:28" x14ac:dyDescent="0.2">
      <c r="A20" s="492" t="s">
        <v>155</v>
      </c>
      <c r="B20" s="805"/>
      <c r="C20" s="788"/>
      <c r="D20" s="788"/>
      <c r="E20" s="788"/>
      <c r="F20" s="778"/>
      <c r="G20" s="778"/>
      <c r="H20" s="778"/>
      <c r="I20" s="766"/>
      <c r="J20" s="766"/>
      <c r="K20" s="766"/>
      <c r="L20" s="766"/>
      <c r="M20" s="797"/>
    </row>
    <row r="21" spans="1:28" x14ac:dyDescent="0.2">
      <c r="A21" s="492" t="s">
        <v>156</v>
      </c>
      <c r="B21" s="806">
        <f t="shared" ref="B21:L21" si="4">B18*$B$6</f>
        <v>42868957.139828384</v>
      </c>
      <c r="C21" s="785">
        <f t="shared" si="4"/>
        <v>46738447.139828384</v>
      </c>
      <c r="D21" s="785">
        <f t="shared" si="4"/>
        <v>62223351.469028391</v>
      </c>
      <c r="E21" s="785">
        <f t="shared" si="4"/>
        <v>75421640.012414381</v>
      </c>
      <c r="F21" s="775">
        <f t="shared" si="4"/>
        <v>75421640.012414381</v>
      </c>
      <c r="G21" s="775">
        <f t="shared" si="4"/>
        <v>89563533.665069491</v>
      </c>
      <c r="H21" s="775">
        <f t="shared" si="4"/>
        <v>100972704.79077768</v>
      </c>
      <c r="I21" s="763">
        <f t="shared" si="4"/>
        <v>100972704.79077768</v>
      </c>
      <c r="J21" s="763">
        <f t="shared" si="4"/>
        <v>104358992.52045353</v>
      </c>
      <c r="K21" s="763">
        <f t="shared" si="4"/>
        <v>107803727.36472288</v>
      </c>
      <c r="L21" s="763">
        <f t="shared" si="4"/>
        <v>107803727.36472288</v>
      </c>
      <c r="M21" s="794">
        <f>SUM(B21:L21)</f>
        <v>914149426.27003801</v>
      </c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9"/>
    </row>
    <row r="22" spans="1:28" x14ac:dyDescent="0.2">
      <c r="A22" s="492" t="s">
        <v>157</v>
      </c>
      <c r="B22" s="807">
        <v>0</v>
      </c>
      <c r="C22" s="786">
        <f>B22</f>
        <v>0</v>
      </c>
      <c r="D22" s="786">
        <v>0</v>
      </c>
      <c r="E22" s="786">
        <v>0</v>
      </c>
      <c r="F22" s="776">
        <f>E22</f>
        <v>0</v>
      </c>
      <c r="G22" s="776">
        <f>F22</f>
        <v>0</v>
      </c>
      <c r="H22" s="776">
        <f>G22</f>
        <v>0</v>
      </c>
      <c r="I22" s="764"/>
      <c r="J22" s="764"/>
      <c r="K22" s="764"/>
      <c r="L22" s="764">
        <f>L18-SUM(C22:K22)</f>
        <v>1796728789.4120481</v>
      </c>
      <c r="M22" s="795">
        <f>SUM(B22:L22)</f>
        <v>1796728789.4120481</v>
      </c>
    </row>
    <row r="23" spans="1:28" x14ac:dyDescent="0.2">
      <c r="A23" s="492" t="s">
        <v>158</v>
      </c>
      <c r="B23" s="806">
        <f>SUM(B21:B22)</f>
        <v>42868957.139828384</v>
      </c>
      <c r="C23" s="785">
        <f t="shared" ref="C23:M23" si="5">SUM(C21:C22)</f>
        <v>46738447.139828384</v>
      </c>
      <c r="D23" s="785">
        <f t="shared" si="5"/>
        <v>62223351.469028391</v>
      </c>
      <c r="E23" s="785">
        <f t="shared" si="5"/>
        <v>75421640.012414381</v>
      </c>
      <c r="F23" s="775">
        <f t="shared" si="5"/>
        <v>75421640.012414381</v>
      </c>
      <c r="G23" s="775">
        <f t="shared" si="5"/>
        <v>89563533.665069491</v>
      </c>
      <c r="H23" s="775">
        <f t="shared" si="5"/>
        <v>100972704.79077768</v>
      </c>
      <c r="I23" s="763">
        <f t="shared" si="5"/>
        <v>100972704.79077768</v>
      </c>
      <c r="J23" s="763">
        <f t="shared" si="5"/>
        <v>104358992.52045353</v>
      </c>
      <c r="K23" s="763">
        <f t="shared" si="5"/>
        <v>107803727.36472288</v>
      </c>
      <c r="L23" s="763">
        <f t="shared" si="5"/>
        <v>1904532516.7767711</v>
      </c>
      <c r="M23" s="794">
        <f t="shared" si="5"/>
        <v>2710878215.682086</v>
      </c>
    </row>
    <row r="24" spans="1:28" x14ac:dyDescent="0.2">
      <c r="A24" s="492"/>
      <c r="B24" s="806"/>
      <c r="C24" s="785"/>
      <c r="D24" s="785"/>
      <c r="E24" s="785"/>
      <c r="F24" s="775"/>
      <c r="G24" s="775"/>
      <c r="H24" s="775"/>
      <c r="I24" s="763"/>
      <c r="J24" s="763"/>
      <c r="K24" s="763"/>
      <c r="L24" s="763"/>
      <c r="M24" s="794"/>
    </row>
    <row r="25" spans="1:28" x14ac:dyDescent="0.2">
      <c r="A25" s="492" t="s">
        <v>159</v>
      </c>
      <c r="B25" s="805"/>
      <c r="C25" s="788"/>
      <c r="D25" s="788"/>
      <c r="E25" s="788"/>
      <c r="F25" s="778"/>
      <c r="G25" s="778"/>
      <c r="H25" s="778"/>
      <c r="I25" s="766"/>
      <c r="J25" s="766"/>
      <c r="K25" s="766"/>
      <c r="L25" s="766"/>
      <c r="M25" s="797"/>
    </row>
    <row r="26" spans="1:28" x14ac:dyDescent="0.2">
      <c r="A26" s="493" t="s">
        <v>5</v>
      </c>
      <c r="B26" s="808">
        <f>'Summary Board'!C15</f>
        <v>0</v>
      </c>
      <c r="C26" s="789">
        <f>'Summary Board'!D15</f>
        <v>73619652.474306345</v>
      </c>
      <c r="D26" s="789">
        <f>'Summary Board'!E15</f>
        <v>95276531.751473293</v>
      </c>
      <c r="E26" s="789">
        <f>'Summary Board'!F15</f>
        <v>41381446.980207868</v>
      </c>
      <c r="F26" s="779">
        <f>'Summary Board'!G15</f>
        <v>118906010.45386846</v>
      </c>
      <c r="G26" s="779">
        <f>'Summary Board'!H15</f>
        <v>137056066.00717989</v>
      </c>
      <c r="H26" s="779">
        <f>'Summary Board'!I15</f>
        <v>88298842.362150967</v>
      </c>
      <c r="I26" s="767">
        <f>'Summary Board'!J15</f>
        <v>107470981.60183817</v>
      </c>
      <c r="J26" s="767">
        <f>'Summary Board'!K15</f>
        <v>116089784.56298929</v>
      </c>
      <c r="K26" s="767">
        <f>'Summary Board'!L15</f>
        <v>107367523.26297139</v>
      </c>
      <c r="L26" s="767">
        <f>'Summary Board'!M15</f>
        <v>109162130.74893759</v>
      </c>
      <c r="M26" s="798">
        <f>SUM(C26:L26)</f>
        <v>994628970.20592308</v>
      </c>
    </row>
    <row r="27" spans="1:28" x14ac:dyDescent="0.2">
      <c r="A27" s="492" t="s">
        <v>160</v>
      </c>
      <c r="B27" s="807">
        <f>-B21</f>
        <v>-42868957.139828384</v>
      </c>
      <c r="C27" s="786">
        <f t="shared" ref="C27:L27" si="6">-C21</f>
        <v>-46738447.139828384</v>
      </c>
      <c r="D27" s="786">
        <f t="shared" si="6"/>
        <v>-62223351.469028391</v>
      </c>
      <c r="E27" s="786">
        <f t="shared" si="6"/>
        <v>-75421640.012414381</v>
      </c>
      <c r="F27" s="776">
        <f t="shared" si="6"/>
        <v>-75421640.012414381</v>
      </c>
      <c r="G27" s="776">
        <f t="shared" si="6"/>
        <v>-89563533.665069491</v>
      </c>
      <c r="H27" s="776">
        <f t="shared" si="6"/>
        <v>-100972704.79077768</v>
      </c>
      <c r="I27" s="764">
        <f t="shared" si="6"/>
        <v>-100972704.79077768</v>
      </c>
      <c r="J27" s="764">
        <f t="shared" si="6"/>
        <v>-104358992.52045353</v>
      </c>
      <c r="K27" s="764">
        <f t="shared" si="6"/>
        <v>-107803727.36472288</v>
      </c>
      <c r="L27" s="764">
        <f t="shared" si="6"/>
        <v>-107803727.36472288</v>
      </c>
      <c r="M27" s="795">
        <f>SUM(B27:L27)</f>
        <v>-914149426.27003801</v>
      </c>
    </row>
    <row r="28" spans="1:28" x14ac:dyDescent="0.2">
      <c r="A28" s="492" t="s">
        <v>161</v>
      </c>
      <c r="B28" s="806">
        <f>SUM(B26:B27)</f>
        <v>-42868957.139828384</v>
      </c>
      <c r="C28" s="785">
        <f>SUM(C26:C27)</f>
        <v>26881205.334477961</v>
      </c>
      <c r="D28" s="785">
        <f>SUM(D26:D27)</f>
        <v>33053180.282444902</v>
      </c>
      <c r="E28" s="785">
        <f t="shared" ref="E28:L28" si="7">SUM(E26:E27)</f>
        <v>-34040193.032206513</v>
      </c>
      <c r="F28" s="775">
        <f t="shared" si="7"/>
        <v>43484370.441454083</v>
      </c>
      <c r="G28" s="775">
        <f t="shared" si="7"/>
        <v>47492532.342110395</v>
      </c>
      <c r="H28" s="775">
        <f t="shared" si="7"/>
        <v>-12673862.428626716</v>
      </c>
      <c r="I28" s="763">
        <f t="shared" si="7"/>
        <v>6498276.8110604882</v>
      </c>
      <c r="J28" s="763">
        <f t="shared" si="7"/>
        <v>11730792.042535767</v>
      </c>
      <c r="K28" s="763">
        <f t="shared" si="7"/>
        <v>-436204.10175149143</v>
      </c>
      <c r="L28" s="763">
        <f t="shared" si="7"/>
        <v>1358403.3842147142</v>
      </c>
      <c r="M28" s="794">
        <f>SUM(M26:M27)</f>
        <v>80479543.935885072</v>
      </c>
    </row>
    <row r="29" spans="1:28" x14ac:dyDescent="0.2">
      <c r="A29" s="492"/>
      <c r="B29" s="806"/>
      <c r="C29" s="785"/>
      <c r="D29" s="785"/>
      <c r="E29" s="785"/>
      <c r="F29" s="775"/>
      <c r="G29" s="775"/>
      <c r="H29" s="775"/>
      <c r="I29" s="763"/>
      <c r="J29" s="763"/>
      <c r="K29" s="763"/>
      <c r="L29" s="763"/>
      <c r="M29" s="794"/>
    </row>
    <row r="30" spans="1:28" x14ac:dyDescent="0.2">
      <c r="A30" s="492" t="s">
        <v>162</v>
      </c>
      <c r="B30" s="805"/>
      <c r="C30" s="788"/>
      <c r="D30" s="788"/>
      <c r="E30" s="788"/>
      <c r="F30" s="778"/>
      <c r="G30" s="778"/>
      <c r="H30" s="778"/>
      <c r="I30" s="766"/>
      <c r="J30" s="766"/>
      <c r="K30" s="766"/>
      <c r="L30" s="766"/>
      <c r="M30" s="797"/>
    </row>
    <row r="31" spans="1:28" x14ac:dyDescent="0.2">
      <c r="A31" s="492" t="s">
        <v>163</v>
      </c>
      <c r="B31" s="806">
        <f>-B15</f>
        <v>-164880604.38395533</v>
      </c>
      <c r="C31" s="785">
        <f t="shared" ref="C31:L31" si="8">-C15</f>
        <v>0</v>
      </c>
      <c r="D31" s="785">
        <f t="shared" si="8"/>
        <v>0</v>
      </c>
      <c r="E31" s="785">
        <f t="shared" si="8"/>
        <v>0</v>
      </c>
      <c r="F31" s="775">
        <f t="shared" si="8"/>
        <v>0</v>
      </c>
      <c r="G31" s="775">
        <f t="shared" si="8"/>
        <v>0</v>
      </c>
      <c r="H31" s="775">
        <f t="shared" si="8"/>
        <v>0</v>
      </c>
      <c r="I31" s="763">
        <f t="shared" si="8"/>
        <v>0</v>
      </c>
      <c r="J31" s="763">
        <f t="shared" si="8"/>
        <v>0</v>
      </c>
      <c r="K31" s="763">
        <f t="shared" si="8"/>
        <v>0</v>
      </c>
      <c r="L31" s="763">
        <f t="shared" si="8"/>
        <v>0</v>
      </c>
      <c r="M31" s="794">
        <f>SUM(B31:L31)</f>
        <v>-164880604.38395533</v>
      </c>
    </row>
    <row r="32" spans="1:28" x14ac:dyDescent="0.2">
      <c r="A32" s="492" t="s">
        <v>164</v>
      </c>
      <c r="B32" s="807">
        <f>B28</f>
        <v>-42868957.139828384</v>
      </c>
      <c r="C32" s="786">
        <f>C28</f>
        <v>26881205.334477961</v>
      </c>
      <c r="D32" s="786">
        <f t="shared" ref="D32:L32" si="9">D28</f>
        <v>33053180.282444902</v>
      </c>
      <c r="E32" s="786">
        <f t="shared" si="9"/>
        <v>-34040193.032206513</v>
      </c>
      <c r="F32" s="776">
        <f t="shared" si="9"/>
        <v>43484370.441454083</v>
      </c>
      <c r="G32" s="776">
        <f t="shared" si="9"/>
        <v>47492532.342110395</v>
      </c>
      <c r="H32" s="776">
        <f t="shared" si="9"/>
        <v>-12673862.428626716</v>
      </c>
      <c r="I32" s="764">
        <f t="shared" si="9"/>
        <v>6498276.8110604882</v>
      </c>
      <c r="J32" s="764">
        <f t="shared" si="9"/>
        <v>11730792.042535767</v>
      </c>
      <c r="K32" s="764">
        <f t="shared" si="9"/>
        <v>-436204.10175149143</v>
      </c>
      <c r="L32" s="764">
        <f t="shared" si="9"/>
        <v>1358403.3842147142</v>
      </c>
      <c r="M32" s="795">
        <f>SUM(B32:L32)</f>
        <v>80479543.935885206</v>
      </c>
    </row>
    <row r="33" spans="1:13" x14ac:dyDescent="0.2">
      <c r="A33" s="492" t="s">
        <v>165</v>
      </c>
      <c r="B33" s="807"/>
      <c r="C33" s="786"/>
      <c r="D33" s="786"/>
      <c r="E33" s="786"/>
      <c r="F33" s="776"/>
      <c r="G33" s="776"/>
      <c r="H33" s="776"/>
      <c r="I33" s="764"/>
      <c r="J33" s="764"/>
      <c r="K33" s="764"/>
      <c r="L33" s="764">
        <f>'Summary Board'!M37</f>
        <v>6773807905.9220495</v>
      </c>
      <c r="M33" s="795">
        <f>SUM(B33:L33)</f>
        <v>6773807905.9220495</v>
      </c>
    </row>
    <row r="34" spans="1:13" x14ac:dyDescent="0.2">
      <c r="A34" s="492" t="s">
        <v>166</v>
      </c>
      <c r="B34" s="807"/>
      <c r="C34" s="786"/>
      <c r="D34" s="786"/>
      <c r="E34" s="786"/>
      <c r="F34" s="776"/>
      <c r="G34" s="776"/>
      <c r="H34" s="776"/>
      <c r="I34" s="764"/>
      <c r="J34" s="764"/>
      <c r="K34" s="764"/>
      <c r="L34" s="764">
        <f>'Summary Board'!M38</f>
        <v>-338690395.29610252</v>
      </c>
      <c r="M34" s="795">
        <f>SUM(B34:L34)</f>
        <v>-338690395.29610252</v>
      </c>
    </row>
    <row r="35" spans="1:13" x14ac:dyDescent="0.2">
      <c r="A35" s="492" t="s">
        <v>167</v>
      </c>
      <c r="B35" s="807">
        <f>-B22</f>
        <v>0</v>
      </c>
      <c r="C35" s="786">
        <f t="shared" ref="C35:K35" si="10">-C22</f>
        <v>0</v>
      </c>
      <c r="D35" s="786">
        <f t="shared" si="10"/>
        <v>0</v>
      </c>
      <c r="E35" s="786">
        <f t="shared" si="10"/>
        <v>0</v>
      </c>
      <c r="F35" s="776">
        <f t="shared" si="10"/>
        <v>0</v>
      </c>
      <c r="G35" s="776">
        <f t="shared" si="10"/>
        <v>0</v>
      </c>
      <c r="H35" s="776">
        <f t="shared" si="10"/>
        <v>0</v>
      </c>
      <c r="I35" s="764">
        <f t="shared" si="10"/>
        <v>0</v>
      </c>
      <c r="J35" s="764">
        <f t="shared" si="10"/>
        <v>0</v>
      </c>
      <c r="K35" s="764">
        <f t="shared" si="10"/>
        <v>0</v>
      </c>
      <c r="L35" s="764">
        <f>-L22</f>
        <v>-1796728789.4120481</v>
      </c>
      <c r="M35" s="795">
        <f>SUM(B35:L35)</f>
        <v>-1796728789.4120481</v>
      </c>
    </row>
    <row r="36" spans="1:13" ht="13.5" thickBot="1" x14ac:dyDescent="0.25">
      <c r="A36" s="494" t="s">
        <v>168</v>
      </c>
      <c r="B36" s="809">
        <f t="shared" ref="B36:M36" si="11">SUM(B31:B35)</f>
        <v>-207749561.52378371</v>
      </c>
      <c r="C36" s="790">
        <f>SUM(C31:C35)</f>
        <v>26881205.334477961</v>
      </c>
      <c r="D36" s="790">
        <f t="shared" si="11"/>
        <v>33053180.282444902</v>
      </c>
      <c r="E36" s="790">
        <f t="shared" si="11"/>
        <v>-34040193.032206513</v>
      </c>
      <c r="F36" s="780">
        <f t="shared" si="11"/>
        <v>43484370.441454083</v>
      </c>
      <c r="G36" s="780">
        <f t="shared" si="11"/>
        <v>47492532.342110395</v>
      </c>
      <c r="H36" s="780">
        <f t="shared" si="11"/>
        <v>-12673862.428626716</v>
      </c>
      <c r="I36" s="768">
        <f t="shared" si="11"/>
        <v>6498276.8110604882</v>
      </c>
      <c r="J36" s="768">
        <f t="shared" si="11"/>
        <v>11730792.042535767</v>
      </c>
      <c r="K36" s="768">
        <f t="shared" si="11"/>
        <v>-436204.10175149143</v>
      </c>
      <c r="L36" s="768">
        <f t="shared" si="11"/>
        <v>4639747124.5981131</v>
      </c>
      <c r="M36" s="799">
        <f t="shared" si="11"/>
        <v>4553987660.7658281</v>
      </c>
    </row>
    <row r="37" spans="1:13" x14ac:dyDescent="0.2">
      <c r="A37" s="495" t="s">
        <v>39</v>
      </c>
      <c r="B37" s="810">
        <f>B36+NPV(B7,C36:L36)</f>
        <v>1841682877.3223655</v>
      </c>
      <c r="C37" s="487"/>
      <c r="D37" s="487"/>
      <c r="E37" s="487"/>
      <c r="F37" s="487"/>
      <c r="G37" s="487"/>
      <c r="H37" s="487"/>
      <c r="I37" s="487"/>
      <c r="J37" s="487"/>
      <c r="K37" s="487"/>
      <c r="L37" s="487"/>
      <c r="M37" s="488"/>
    </row>
    <row r="38" spans="1:13" ht="13.5" thickBot="1" x14ac:dyDescent="0.25">
      <c r="A38" s="496" t="s">
        <v>90</v>
      </c>
      <c r="B38" s="811">
        <f>IRR(B36:L36,0)</f>
        <v>0.39690045573296429</v>
      </c>
      <c r="C38" s="487"/>
      <c r="D38" s="487"/>
      <c r="E38" s="487"/>
      <c r="F38" s="487"/>
      <c r="G38" s="487"/>
      <c r="H38" s="487"/>
      <c r="I38" s="487"/>
      <c r="J38" s="487"/>
      <c r="K38" s="487"/>
      <c r="L38" s="487"/>
      <c r="M38" s="488"/>
    </row>
    <row r="39" spans="1:13" ht="13.5" thickBo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447" t="s">
        <v>287</v>
      </c>
      <c r="B40" s="448"/>
      <c r="C40" s="460"/>
      <c r="D40" s="458"/>
      <c r="E40" s="458"/>
      <c r="F40" s="458"/>
      <c r="G40" s="458"/>
      <c r="H40" s="458"/>
      <c r="I40" s="458"/>
      <c r="J40" s="458"/>
      <c r="K40" s="458"/>
      <c r="L40" s="458"/>
      <c r="M40" s="458"/>
    </row>
    <row r="41" spans="1:13" x14ac:dyDescent="0.2">
      <c r="A41" s="462" t="s">
        <v>288</v>
      </c>
      <c r="B41" s="463"/>
      <c r="C41" s="464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465" t="s">
        <v>111</v>
      </c>
      <c r="B42" s="8"/>
      <c r="C42" s="471">
        <f>'Summary Board'!E105</f>
        <v>64491500</v>
      </c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466" t="s">
        <v>290</v>
      </c>
      <c r="B43" s="8"/>
      <c r="C43" s="471">
        <f>'Summary Board'!L105</f>
        <v>0</v>
      </c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3.5" thickBot="1" x14ac:dyDescent="0.25">
      <c r="A44" s="466" t="s">
        <v>289</v>
      </c>
      <c r="B44" s="8"/>
      <c r="C44" s="471">
        <f>'Summary Board'!E89</f>
        <v>1034712529.2263689</v>
      </c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3.5" thickBot="1" x14ac:dyDescent="0.25">
      <c r="A45" s="467" t="s">
        <v>54</v>
      </c>
      <c r="B45" s="463"/>
      <c r="C45" s="472">
        <f>SUM(C42:C44)</f>
        <v>1099204029.2263689</v>
      </c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468" t="s">
        <v>170</v>
      </c>
      <c r="B46" s="463"/>
      <c r="C46" s="473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446" t="s">
        <v>173</v>
      </c>
      <c r="B47" s="8"/>
      <c r="C47" s="474">
        <f>C45*0.65</f>
        <v>714482618.99713981</v>
      </c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446" t="s">
        <v>172</v>
      </c>
      <c r="B48" s="8"/>
      <c r="C48" s="474">
        <f>C45*0.15</f>
        <v>164880604.38395533</v>
      </c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466" t="s">
        <v>292</v>
      </c>
      <c r="B49" s="480"/>
      <c r="C49" s="474">
        <f>C45*0.2</f>
        <v>219840805.84527379</v>
      </c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466"/>
      <c r="B50" s="8" t="s">
        <v>293</v>
      </c>
      <c r="C50" s="471">
        <f>C49*0.5</f>
        <v>109920402.9226369</v>
      </c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469"/>
      <c r="B51" s="8" t="s">
        <v>180</v>
      </c>
      <c r="C51" s="471">
        <f>C49*0.3</f>
        <v>65952241.753582135</v>
      </c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3.5" thickBot="1" x14ac:dyDescent="0.25">
      <c r="A52" s="469"/>
      <c r="B52" s="8" t="s">
        <v>294</v>
      </c>
      <c r="C52" s="471">
        <f>C49*0.2</f>
        <v>43968161.169054762</v>
      </c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3.5" thickBot="1" x14ac:dyDescent="0.25">
      <c r="A53" s="470" t="s">
        <v>291</v>
      </c>
      <c r="B53" s="461"/>
      <c r="C53" s="475">
        <f>SUM(C47:C48)+SUM(C50:C52)</f>
        <v>1099204029.2263689</v>
      </c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>
        <v>96.515579000000002</v>
      </c>
      <c r="B55" s="55" t="s">
        <v>266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I62" s="1"/>
      <c r="J62" s="1"/>
      <c r="K62" s="1"/>
      <c r="L62" s="1"/>
      <c r="M62" s="1"/>
    </row>
    <row r="63" spans="1:13" x14ac:dyDescent="0.2">
      <c r="A63" s="55"/>
      <c r="C63" s="55"/>
    </row>
    <row r="64" spans="1:13" x14ac:dyDescent="0.2">
      <c r="A64" s="55"/>
      <c r="C64" s="55"/>
    </row>
    <row r="65" spans="1:3" x14ac:dyDescent="0.2">
      <c r="A65" s="1"/>
      <c r="C65" s="1"/>
    </row>
    <row r="66" spans="1:3" x14ac:dyDescent="0.2">
      <c r="A66" s="1"/>
    </row>
    <row r="67" spans="1:3" x14ac:dyDescent="0.2">
      <c r="A67" s="1"/>
    </row>
    <row r="68" spans="1:3" x14ac:dyDescent="0.2">
      <c r="A68" s="1"/>
    </row>
    <row r="69" spans="1:3" x14ac:dyDescent="0.2">
      <c r="A69" s="1"/>
      <c r="B69" s="55"/>
    </row>
    <row r="70" spans="1:3" x14ac:dyDescent="0.2">
      <c r="A70" s="1"/>
      <c r="B70" s="55"/>
    </row>
    <row r="71" spans="1:3" x14ac:dyDescent="0.2">
      <c r="A71" s="1"/>
    </row>
    <row r="72" spans="1:3" x14ac:dyDescent="0.2">
      <c r="A72" s="1"/>
    </row>
    <row r="73" spans="1:3" x14ac:dyDescent="0.2">
      <c r="A73" s="1"/>
    </row>
    <row r="74" spans="1:3" x14ac:dyDescent="0.2">
      <c r="A74" s="1"/>
    </row>
    <row r="75" spans="1:3" x14ac:dyDescent="0.2">
      <c r="A75" s="1"/>
    </row>
    <row r="76" spans="1:3" x14ac:dyDescent="0.2">
      <c r="A76" s="1"/>
    </row>
    <row r="77" spans="1:3" x14ac:dyDescent="0.2">
      <c r="A77" s="1"/>
    </row>
    <row r="78" spans="1:3" x14ac:dyDescent="0.2">
      <c r="A78" s="1"/>
    </row>
    <row r="79" spans="1:3" x14ac:dyDescent="0.2">
      <c r="A79" s="1"/>
    </row>
    <row r="80" spans="1:3" x14ac:dyDescent="0.2">
      <c r="A80" s="1"/>
    </row>
  </sheetData>
  <pageMargins left="0.7" right="0.7" top="0.75" bottom="0.75" header="0.3" footer="0.3"/>
  <pageSetup scale="44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4"/>
  <sheetViews>
    <sheetView tabSelected="1" view="pageBreakPreview" zoomScale="70" zoomScaleNormal="85" zoomScaleSheetLayoutView="70" workbookViewId="0">
      <selection activeCell="S55" sqref="S55"/>
    </sheetView>
  </sheetViews>
  <sheetFormatPr defaultColWidth="8.85546875" defaultRowHeight="13.5" x14ac:dyDescent="0.25"/>
  <cols>
    <col min="1" max="3" width="17.140625" style="72" customWidth="1"/>
    <col min="4" max="4" width="15.85546875" style="72" customWidth="1"/>
    <col min="5" max="5" width="17.140625" style="72" customWidth="1"/>
    <col min="6" max="6" width="13.42578125" style="72" customWidth="1"/>
    <col min="7" max="7" width="13.85546875" style="72" customWidth="1"/>
    <col min="8" max="8" width="15.28515625" style="72" customWidth="1"/>
    <col min="9" max="9" width="15.140625" style="72" customWidth="1"/>
    <col min="10" max="10" width="14.85546875" style="72" customWidth="1"/>
    <col min="11" max="11" width="15.7109375" style="72" customWidth="1"/>
    <col min="12" max="12" width="12.28515625" style="72" customWidth="1"/>
    <col min="13" max="13" width="11.28515625" style="72" customWidth="1"/>
    <col min="14" max="14" width="11" style="72" customWidth="1"/>
    <col min="15" max="17" width="17.140625" style="72" customWidth="1"/>
    <col min="18" max="18" width="9.140625" style="72" customWidth="1"/>
    <col min="19" max="20" width="9" style="72" bestFit="1" customWidth="1"/>
    <col min="21" max="21" width="10.140625" style="72" bestFit="1" customWidth="1"/>
    <col min="22" max="22" width="9" style="72" bestFit="1" customWidth="1"/>
    <col min="23" max="23" width="10.140625" style="72" bestFit="1" customWidth="1"/>
    <col min="24" max="34" width="9" style="72" bestFit="1" customWidth="1"/>
    <col min="35" max="16384" width="8.85546875" style="72"/>
  </cols>
  <sheetData>
    <row r="1" spans="1:19" ht="14.25" thickBot="1" x14ac:dyDescent="0.3">
      <c r="A1" s="92" t="s">
        <v>71</v>
      </c>
      <c r="B1" s="94">
        <v>198923</v>
      </c>
    </row>
    <row r="2" spans="1:19" ht="14.25" thickBot="1" x14ac:dyDescent="0.3">
      <c r="A2" s="447" t="s">
        <v>298</v>
      </c>
      <c r="B2" s="448"/>
      <c r="C2" s="449"/>
      <c r="D2" s="453"/>
      <c r="E2" s="453"/>
      <c r="F2" s="453"/>
      <c r="G2" s="453"/>
      <c r="H2" s="453"/>
      <c r="I2" s="453"/>
      <c r="J2" s="453"/>
      <c r="K2" s="453"/>
      <c r="L2" s="454"/>
      <c r="M2" s="447"/>
      <c r="N2" s="448"/>
      <c r="O2" s="449"/>
      <c r="P2" s="453"/>
      <c r="Q2" s="814"/>
      <c r="R2" s="88"/>
    </row>
    <row r="3" spans="1:19" ht="14.25" thickBot="1" x14ac:dyDescent="0.3">
      <c r="A3" s="73"/>
      <c r="B3" s="74" t="s">
        <v>241</v>
      </c>
      <c r="C3" s="74"/>
      <c r="D3" s="500" t="s">
        <v>100</v>
      </c>
      <c r="E3" s="224" t="s">
        <v>56</v>
      </c>
      <c r="F3" s="225"/>
      <c r="G3" s="225"/>
      <c r="H3" s="240" t="s">
        <v>124</v>
      </c>
      <c r="I3" s="241"/>
      <c r="J3" s="242"/>
      <c r="K3" s="261" t="s">
        <v>125</v>
      </c>
      <c r="L3" s="262"/>
      <c r="M3" s="263"/>
      <c r="N3" s="264"/>
      <c r="O3" s="237" t="s">
        <v>228</v>
      </c>
      <c r="P3" s="255" t="s">
        <v>242</v>
      </c>
      <c r="Q3" s="508" t="s">
        <v>181</v>
      </c>
      <c r="R3" s="88"/>
    </row>
    <row r="4" spans="1:19" ht="14.25" thickBot="1" x14ac:dyDescent="0.3">
      <c r="A4" s="75"/>
      <c r="B4" s="76"/>
      <c r="C4" s="76"/>
      <c r="D4" s="501" t="s">
        <v>118</v>
      </c>
      <c r="E4" s="226">
        <v>2021</v>
      </c>
      <c r="F4" s="227">
        <f>E4+1</f>
        <v>2022</v>
      </c>
      <c r="G4" s="227">
        <f t="shared" ref="G4:L4" si="0">F4+1</f>
        <v>2023</v>
      </c>
      <c r="H4" s="243">
        <f t="shared" si="0"/>
        <v>2024</v>
      </c>
      <c r="I4" s="244">
        <f t="shared" si="0"/>
        <v>2025</v>
      </c>
      <c r="J4" s="245">
        <f t="shared" si="0"/>
        <v>2026</v>
      </c>
      <c r="K4" s="265">
        <f t="shared" si="0"/>
        <v>2027</v>
      </c>
      <c r="L4" s="266">
        <f t="shared" si="0"/>
        <v>2028</v>
      </c>
      <c r="M4" s="266">
        <f>L4+1</f>
        <v>2029</v>
      </c>
      <c r="N4" s="266">
        <f>M4+1</f>
        <v>2030</v>
      </c>
      <c r="O4" s="238" t="s">
        <v>226</v>
      </c>
      <c r="P4" s="256" t="s">
        <v>226</v>
      </c>
      <c r="Q4" s="273" t="s">
        <v>226</v>
      </c>
      <c r="R4" s="164"/>
    </row>
    <row r="5" spans="1:19" x14ac:dyDescent="0.25">
      <c r="A5" s="497" t="s">
        <v>179</v>
      </c>
      <c r="B5" s="77"/>
      <c r="C5" s="78"/>
      <c r="D5" s="502"/>
      <c r="E5" s="228"/>
      <c r="F5" s="229"/>
      <c r="G5" s="230"/>
      <c r="H5" s="246"/>
      <c r="I5" s="247"/>
      <c r="J5" s="248"/>
      <c r="K5" s="267"/>
      <c r="L5" s="267"/>
      <c r="M5" s="267"/>
      <c r="N5" s="267"/>
      <c r="O5" s="1015"/>
      <c r="P5" s="1018"/>
      <c r="Q5" s="272"/>
      <c r="R5" s="88"/>
    </row>
    <row r="6" spans="1:19" x14ac:dyDescent="0.25">
      <c r="A6" s="79" t="s">
        <v>128</v>
      </c>
      <c r="B6" s="80"/>
      <c r="C6" s="80"/>
      <c r="D6" s="503">
        <v>0</v>
      </c>
      <c r="E6" s="231">
        <f>O6/2</f>
        <v>47857</v>
      </c>
      <c r="F6" s="232">
        <f>E6</f>
        <v>47857</v>
      </c>
      <c r="G6" s="233">
        <v>0</v>
      </c>
      <c r="H6" s="249">
        <f>P6/2</f>
        <v>43568</v>
      </c>
      <c r="I6" s="250">
        <f>H6</f>
        <v>43568</v>
      </c>
      <c r="J6" s="251">
        <v>0</v>
      </c>
      <c r="K6" s="268">
        <f>Q6/2</f>
        <v>36264</v>
      </c>
      <c r="L6" s="268">
        <f>K6</f>
        <v>36264</v>
      </c>
      <c r="M6" s="268">
        <v>0</v>
      </c>
      <c r="N6" s="268">
        <v>0</v>
      </c>
      <c r="O6" s="1016">
        <f>'Development Schedule by Lot'!C20+'Development Schedule by Lot'!D20+'Development Schedule by Lot'!E20+'Development Schedule by Lot'!F20+'Development Schedule by Lot'!O20</f>
        <v>95714</v>
      </c>
      <c r="P6" s="1019">
        <f>'Development Schedule by Lot'!G20+'Development Schedule by Lot'!I20+'Development Schedule by Lot'!J20+'Development Schedule by Lot'!N20</f>
        <v>87136</v>
      </c>
      <c r="Q6" s="1020">
        <f>'Development Schedule by Lot'!K20+'Development Schedule by Lot'!L20+'Development Schedule by Lot'!M20</f>
        <v>72528</v>
      </c>
      <c r="R6" s="166"/>
      <c r="S6" s="81"/>
    </row>
    <row r="7" spans="1:19" x14ac:dyDescent="0.25">
      <c r="A7" s="79" t="s">
        <v>236</v>
      </c>
      <c r="B7" s="80"/>
      <c r="C7" s="80"/>
      <c r="D7" s="503"/>
      <c r="E7" s="231"/>
      <c r="F7" s="232"/>
      <c r="G7" s="233"/>
      <c r="H7" s="249"/>
      <c r="I7" s="250"/>
      <c r="J7" s="251"/>
      <c r="K7" s="268"/>
      <c r="L7" s="268"/>
      <c r="M7" s="268"/>
      <c r="N7" s="269"/>
      <c r="O7" s="1016">
        <f>'Development Schedule by Lot'!C24+'Development Schedule by Lot'!D24+'Development Schedule by Lot'!E24+'Development Schedule by Lot'!F24+'Development Schedule by Lot'!O24</f>
        <v>897156.9</v>
      </c>
      <c r="P7" s="1019">
        <f>'Development Schedule by Lot'!G24+'Development Schedule by Lot'!I24+'Development Schedule by Lot'!J24+'Development Schedule by Lot'!N24</f>
        <v>780673.5</v>
      </c>
      <c r="Q7" s="1020">
        <f>'Development Schedule by Lot'!K24+'Development Schedule by Lot'!L24+'Development Schedule by Lot'!M24</f>
        <v>169290</v>
      </c>
      <c r="R7" s="166"/>
      <c r="S7" s="81"/>
    </row>
    <row r="8" spans="1:19" x14ac:dyDescent="0.25">
      <c r="A8" s="79" t="s">
        <v>237</v>
      </c>
      <c r="B8" s="80"/>
      <c r="C8" s="80"/>
      <c r="D8" s="503"/>
      <c r="E8" s="231"/>
      <c r="F8" s="232"/>
      <c r="G8" s="233"/>
      <c r="H8" s="249"/>
      <c r="I8" s="250"/>
      <c r="J8" s="251"/>
      <c r="K8" s="268"/>
      <c r="L8" s="268"/>
      <c r="M8" s="268"/>
      <c r="N8" s="269"/>
      <c r="O8" s="1016">
        <f>'Development Schedule by Lot'!C26+'Development Schedule by Lot'!D26+'Development Schedule by Lot'!E26+'Development Schedule by Lot'!F26+'Development Schedule by Lot'!O26</f>
        <v>99684.1</v>
      </c>
      <c r="P8" s="1019">
        <f>'Development Schedule by Lot'!G26+'Development Schedule by Lot'!I26+'Development Schedule by Lot'!J26+'Development Schedule by Lot'!N26</f>
        <v>86741.5</v>
      </c>
      <c r="Q8" s="1020">
        <f>'Development Schedule by Lot'!K26+'Development Schedule by Lot'!L26+'Development Schedule by Lot'!M26</f>
        <v>18810</v>
      </c>
      <c r="R8" s="166"/>
      <c r="S8" s="81"/>
    </row>
    <row r="9" spans="1:19" x14ac:dyDescent="0.25">
      <c r="A9" s="79" t="s">
        <v>129</v>
      </c>
      <c r="B9" s="80"/>
      <c r="C9" s="80"/>
      <c r="D9" s="503">
        <v>0</v>
      </c>
      <c r="E9" s="231">
        <f t="shared" ref="E9:E20" si="1">O9/2</f>
        <v>112144.6125</v>
      </c>
      <c r="F9" s="232">
        <f t="shared" ref="F9:F20" si="2">E9</f>
        <v>112144.6125</v>
      </c>
      <c r="G9" s="233">
        <v>0</v>
      </c>
      <c r="H9" s="249">
        <f t="shared" ref="H9:H20" si="3">P9/2</f>
        <v>97584.1875</v>
      </c>
      <c r="I9" s="250">
        <f t="shared" ref="I9:I20" si="4">H9</f>
        <v>97584.1875</v>
      </c>
      <c r="J9" s="251">
        <v>0</v>
      </c>
      <c r="K9" s="268">
        <f t="shared" ref="K9:K20" si="5">Q9/2</f>
        <v>21161.25</v>
      </c>
      <c r="L9" s="268">
        <f t="shared" ref="L9:L20" si="6">K9</f>
        <v>21161.25</v>
      </c>
      <c r="M9" s="268">
        <v>0</v>
      </c>
      <c r="N9" s="268">
        <v>0</v>
      </c>
      <c r="O9" s="1016">
        <f t="shared" ref="O9:Q10" si="7">O7*0.25</f>
        <v>224289.22500000001</v>
      </c>
      <c r="P9" s="1019">
        <f t="shared" si="7"/>
        <v>195168.375</v>
      </c>
      <c r="Q9" s="1020">
        <f t="shared" si="7"/>
        <v>42322.5</v>
      </c>
      <c r="R9" s="165"/>
      <c r="S9" s="81"/>
    </row>
    <row r="10" spans="1:19" x14ac:dyDescent="0.25">
      <c r="A10" s="79" t="s">
        <v>130</v>
      </c>
      <c r="B10" s="80"/>
      <c r="C10" s="80"/>
      <c r="D10" s="503">
        <v>0</v>
      </c>
      <c r="E10" s="231">
        <f>O10</f>
        <v>24921.025000000001</v>
      </c>
      <c r="F10" s="232">
        <v>0</v>
      </c>
      <c r="G10" s="233">
        <v>0</v>
      </c>
      <c r="H10" s="249">
        <f t="shared" si="3"/>
        <v>10842.6875</v>
      </c>
      <c r="I10" s="250">
        <f t="shared" si="4"/>
        <v>10842.6875</v>
      </c>
      <c r="J10" s="251">
        <v>0</v>
      </c>
      <c r="K10" s="268">
        <f t="shared" si="5"/>
        <v>2351.25</v>
      </c>
      <c r="L10" s="268">
        <f t="shared" si="6"/>
        <v>2351.25</v>
      </c>
      <c r="M10" s="268">
        <v>0</v>
      </c>
      <c r="N10" s="268">
        <v>0</v>
      </c>
      <c r="O10" s="1016">
        <f t="shared" si="7"/>
        <v>24921.025000000001</v>
      </c>
      <c r="P10" s="1019">
        <f t="shared" si="7"/>
        <v>21685.375</v>
      </c>
      <c r="Q10" s="1020">
        <f t="shared" si="7"/>
        <v>4702.5</v>
      </c>
      <c r="R10" s="165"/>
      <c r="S10" s="81"/>
    </row>
    <row r="11" spans="1:19" x14ac:dyDescent="0.25">
      <c r="A11" s="79" t="s">
        <v>131</v>
      </c>
      <c r="B11" s="80"/>
      <c r="C11" s="80"/>
      <c r="D11" s="503">
        <v>0</v>
      </c>
      <c r="E11" s="231">
        <f t="shared" si="1"/>
        <v>336433.83750000002</v>
      </c>
      <c r="F11" s="232">
        <f t="shared" si="2"/>
        <v>336433.83750000002</v>
      </c>
      <c r="G11" s="233">
        <v>0</v>
      </c>
      <c r="H11" s="249">
        <f t="shared" si="3"/>
        <v>292752.5625</v>
      </c>
      <c r="I11" s="250">
        <f t="shared" si="4"/>
        <v>292752.5625</v>
      </c>
      <c r="J11" s="251">
        <v>0</v>
      </c>
      <c r="K11" s="268">
        <f t="shared" si="5"/>
        <v>63483.75</v>
      </c>
      <c r="L11" s="268">
        <f t="shared" si="6"/>
        <v>63483.75</v>
      </c>
      <c r="M11" s="268">
        <v>0</v>
      </c>
      <c r="N11" s="268">
        <v>0</v>
      </c>
      <c r="O11" s="1016">
        <f t="shared" ref="O11:Q12" si="8">O7*0.75</f>
        <v>672867.67500000005</v>
      </c>
      <c r="P11" s="1019">
        <f t="shared" si="8"/>
        <v>585505.125</v>
      </c>
      <c r="Q11" s="1020">
        <f t="shared" si="8"/>
        <v>126967.5</v>
      </c>
      <c r="R11" s="165"/>
      <c r="S11" s="81"/>
    </row>
    <row r="12" spans="1:19" x14ac:dyDescent="0.25">
      <c r="A12" s="79" t="s">
        <v>132</v>
      </c>
      <c r="B12" s="80"/>
      <c r="C12" s="80"/>
      <c r="D12" s="503">
        <v>0</v>
      </c>
      <c r="E12" s="231">
        <f t="shared" si="1"/>
        <v>37381.537500000006</v>
      </c>
      <c r="F12" s="232">
        <f t="shared" si="2"/>
        <v>37381.537500000006</v>
      </c>
      <c r="G12" s="233">
        <v>0</v>
      </c>
      <c r="H12" s="249">
        <f t="shared" si="3"/>
        <v>32528.0625</v>
      </c>
      <c r="I12" s="250">
        <f t="shared" si="4"/>
        <v>32528.0625</v>
      </c>
      <c r="J12" s="251">
        <v>0</v>
      </c>
      <c r="K12" s="268">
        <f t="shared" si="5"/>
        <v>7053.75</v>
      </c>
      <c r="L12" s="268">
        <f t="shared" si="6"/>
        <v>7053.75</v>
      </c>
      <c r="M12" s="268">
        <v>0</v>
      </c>
      <c r="N12" s="268">
        <v>0</v>
      </c>
      <c r="O12" s="1016">
        <f t="shared" si="8"/>
        <v>74763.075000000012</v>
      </c>
      <c r="P12" s="1019">
        <f t="shared" si="8"/>
        <v>65056.125</v>
      </c>
      <c r="Q12" s="1020">
        <f t="shared" si="8"/>
        <v>14107.5</v>
      </c>
      <c r="R12" s="165"/>
      <c r="S12" s="81"/>
    </row>
    <row r="13" spans="1:19" x14ac:dyDescent="0.25">
      <c r="A13" s="82" t="s">
        <v>136</v>
      </c>
      <c r="B13" s="80"/>
      <c r="C13" s="80"/>
      <c r="D13" s="503">
        <v>0</v>
      </c>
      <c r="E13" s="231">
        <f t="shared" si="1"/>
        <v>383506</v>
      </c>
      <c r="F13" s="232">
        <f t="shared" si="2"/>
        <v>383506</v>
      </c>
      <c r="G13" s="233">
        <v>0</v>
      </c>
      <c r="H13" s="249">
        <f t="shared" si="3"/>
        <v>273959.5</v>
      </c>
      <c r="I13" s="250">
        <f t="shared" si="4"/>
        <v>273959.5</v>
      </c>
      <c r="J13" s="251">
        <v>0</v>
      </c>
      <c r="K13" s="268">
        <f t="shared" si="5"/>
        <v>85500</v>
      </c>
      <c r="L13" s="268">
        <f t="shared" si="6"/>
        <v>85500</v>
      </c>
      <c r="M13" s="268">
        <v>0</v>
      </c>
      <c r="N13" s="268">
        <v>0</v>
      </c>
      <c r="O13" s="1016">
        <f>'Development Schedule by Lot'!C18+'Development Schedule by Lot'!D18+'Development Schedule by Lot'!E18+'Development Schedule by Lot'!F18+'Development Schedule by Lot'!O18</f>
        <v>767012</v>
      </c>
      <c r="P13" s="1019">
        <f>'Development Schedule by Lot'!G18+'Development Schedule by Lot'!I18+'Development Schedule by Lot'!J18+'Development Schedule by Lot'!N18</f>
        <v>547919</v>
      </c>
      <c r="Q13" s="1020">
        <f>'Development Schedule by Lot'!K18+'Development Schedule by Lot'!L18+'Development Schedule by Lot'!M18</f>
        <v>171000</v>
      </c>
      <c r="R13" s="165"/>
      <c r="S13" s="81"/>
    </row>
    <row r="14" spans="1:19" x14ac:dyDescent="0.25">
      <c r="A14" s="82" t="s">
        <v>127</v>
      </c>
      <c r="B14" s="80"/>
      <c r="C14" s="80"/>
      <c r="D14" s="503">
        <v>0</v>
      </c>
      <c r="E14" s="231"/>
      <c r="F14" s="232"/>
      <c r="G14" s="233"/>
      <c r="H14" s="249">
        <f>P14</f>
        <v>196296</v>
      </c>
      <c r="I14" s="250"/>
      <c r="J14" s="251"/>
      <c r="K14" s="268"/>
      <c r="L14" s="268"/>
      <c r="M14" s="268"/>
      <c r="N14" s="268"/>
      <c r="O14" s="1016"/>
      <c r="P14" s="1019">
        <f>SUM('Development Schedule by Lot'!G28)</f>
        <v>196296</v>
      </c>
      <c r="Q14" s="1020"/>
      <c r="R14" s="165"/>
      <c r="S14" s="81"/>
    </row>
    <row r="15" spans="1:19" x14ac:dyDescent="0.25">
      <c r="A15" s="82" t="s">
        <v>238</v>
      </c>
      <c r="B15" s="80"/>
      <c r="C15" s="80"/>
      <c r="D15" s="503">
        <v>0</v>
      </c>
      <c r="E15" s="231">
        <f t="shared" si="1"/>
        <v>94133.5</v>
      </c>
      <c r="F15" s="232">
        <f t="shared" si="2"/>
        <v>94133.5</v>
      </c>
      <c r="G15" s="233">
        <f>'Development Schedule'!I1</f>
        <v>0</v>
      </c>
      <c r="H15" s="249">
        <f t="shared" si="3"/>
        <v>0</v>
      </c>
      <c r="I15" s="250">
        <f t="shared" si="4"/>
        <v>0</v>
      </c>
      <c r="J15" s="251">
        <v>0</v>
      </c>
      <c r="K15" s="268">
        <f t="shared" si="5"/>
        <v>0</v>
      </c>
      <c r="L15" s="268">
        <f t="shared" si="6"/>
        <v>0</v>
      </c>
      <c r="M15" s="268">
        <v>0</v>
      </c>
      <c r="N15" s="269">
        <v>0</v>
      </c>
      <c r="O15" s="1016">
        <f>'Development Schedule by Lot'!C30+'Development Schedule by Lot'!D30+'Development Schedule by Lot'!E30+'Development Schedule by Lot'!F30+'Development Schedule by Lot'!O30</f>
        <v>188267</v>
      </c>
      <c r="P15" s="1019">
        <f>'Development Schedule by Lot'!G30+'Development Schedule by Lot'!I30+'Development Schedule by Lot'!J30+'Development Schedule by Lot'!N30</f>
        <v>0</v>
      </c>
      <c r="Q15" s="1020">
        <f>'Development Schedule by Lot'!K30+'Development Schedule by Lot'!L30+'Development Schedule by Lot'!M30</f>
        <v>0</v>
      </c>
      <c r="R15" s="165"/>
      <c r="S15" s="81"/>
    </row>
    <row r="16" spans="1:19" x14ac:dyDescent="0.25">
      <c r="A16" s="82" t="s">
        <v>239</v>
      </c>
      <c r="B16" s="80"/>
      <c r="C16" s="80"/>
      <c r="D16" s="503">
        <v>0</v>
      </c>
      <c r="E16" s="231">
        <f t="shared" si="1"/>
        <v>0</v>
      </c>
      <c r="F16" s="232">
        <f t="shared" si="2"/>
        <v>0</v>
      </c>
      <c r="G16" s="233">
        <v>0</v>
      </c>
      <c r="H16" s="249">
        <f t="shared" si="3"/>
        <v>0</v>
      </c>
      <c r="I16" s="250">
        <f t="shared" si="4"/>
        <v>0</v>
      </c>
      <c r="J16" s="251">
        <v>0</v>
      </c>
      <c r="K16" s="268">
        <f t="shared" si="5"/>
        <v>29986</v>
      </c>
      <c r="L16" s="268">
        <f t="shared" si="6"/>
        <v>29986</v>
      </c>
      <c r="M16" s="268">
        <v>0</v>
      </c>
      <c r="N16" s="269">
        <v>0</v>
      </c>
      <c r="O16" s="1016">
        <f>'Development Schedule by Lot'!C32+'Development Schedule by Lot'!D32+'Development Schedule by Lot'!E32+'Development Schedule by Lot'!F32+'Development Schedule by Lot'!O32</f>
        <v>0</v>
      </c>
      <c r="P16" s="1019">
        <f>'Development Schedule by Lot'!G32+'Development Schedule by Lot'!I32+'Development Schedule by Lot'!J32+'Development Schedule by Lot'!N32</f>
        <v>0</v>
      </c>
      <c r="Q16" s="1020">
        <f>'Development Schedule by Lot'!K32+'Development Schedule by Lot'!L32+'Development Schedule by Lot'!M32</f>
        <v>59972</v>
      </c>
      <c r="R16" s="165"/>
      <c r="S16" s="81"/>
    </row>
    <row r="17" spans="1:19" x14ac:dyDescent="0.25">
      <c r="A17" s="79" t="s">
        <v>176</v>
      </c>
      <c r="B17" s="80"/>
      <c r="C17" s="80"/>
      <c r="D17" s="503"/>
      <c r="E17" s="231"/>
      <c r="F17" s="232"/>
      <c r="G17" s="233"/>
      <c r="H17" s="249"/>
      <c r="I17" s="250"/>
      <c r="J17" s="251"/>
      <c r="K17" s="268"/>
      <c r="L17" s="268"/>
      <c r="M17" s="268"/>
      <c r="N17" s="268"/>
      <c r="O17" s="1016"/>
      <c r="P17" s="1019"/>
      <c r="Q17" s="1020"/>
      <c r="R17" s="165"/>
      <c r="S17" s="81"/>
    </row>
    <row r="18" spans="1:19" x14ac:dyDescent="0.25">
      <c r="A18" s="79" t="s">
        <v>177</v>
      </c>
      <c r="B18" s="80"/>
      <c r="C18" s="80"/>
      <c r="D18" s="503"/>
      <c r="E18" s="231"/>
      <c r="F18" s="232"/>
      <c r="G18" s="233"/>
      <c r="H18" s="249"/>
      <c r="I18" s="250"/>
      <c r="J18" s="251"/>
      <c r="K18" s="268"/>
      <c r="L18" s="268"/>
      <c r="M18" s="268"/>
      <c r="N18" s="268"/>
      <c r="O18" s="1016"/>
      <c r="P18" s="1019"/>
      <c r="Q18" s="1020"/>
      <c r="R18" s="165"/>
      <c r="S18" s="81"/>
    </row>
    <row r="19" spans="1:19" x14ac:dyDescent="0.25">
      <c r="A19" s="79" t="s">
        <v>178</v>
      </c>
      <c r="B19" s="80"/>
      <c r="C19" s="80"/>
      <c r="D19" s="503"/>
      <c r="E19" s="231"/>
      <c r="F19" s="232"/>
      <c r="G19" s="233"/>
      <c r="H19" s="249"/>
      <c r="I19" s="250"/>
      <c r="J19" s="251"/>
      <c r="K19" s="268"/>
      <c r="L19" s="268"/>
      <c r="M19" s="268"/>
      <c r="N19" s="268"/>
      <c r="O19" s="1016"/>
      <c r="P19" s="1019"/>
      <c r="Q19" s="1020"/>
      <c r="R19" s="165"/>
      <c r="S19" s="81"/>
    </row>
    <row r="20" spans="1:19" x14ac:dyDescent="0.25">
      <c r="A20" s="79" t="s">
        <v>133</v>
      </c>
      <c r="B20" s="80"/>
      <c r="C20" s="80"/>
      <c r="D20" s="503">
        <v>0</v>
      </c>
      <c r="E20" s="231">
        <f t="shared" si="1"/>
        <v>142280.5</v>
      </c>
      <c r="F20" s="232">
        <f t="shared" si="2"/>
        <v>142280.5</v>
      </c>
      <c r="G20" s="233"/>
      <c r="H20" s="249">
        <f t="shared" si="3"/>
        <v>101930</v>
      </c>
      <c r="I20" s="250">
        <f t="shared" si="4"/>
        <v>101930</v>
      </c>
      <c r="J20" s="251">
        <f>G20</f>
        <v>0</v>
      </c>
      <c r="K20" s="268">
        <f t="shared" si="5"/>
        <v>77322</v>
      </c>
      <c r="L20" s="268">
        <f t="shared" si="6"/>
        <v>77322</v>
      </c>
      <c r="M20" s="268">
        <f>J20</f>
        <v>0</v>
      </c>
      <c r="N20" s="268">
        <v>0</v>
      </c>
      <c r="O20" s="1016">
        <f>'Development Schedule by Lot'!C40+'Development Schedule by Lot'!D40+'Development Schedule by Lot'!E40+'Development Schedule by Lot'!F40+'Development Schedule by Lot'!O40</f>
        <v>284561</v>
      </c>
      <c r="P20" s="1019">
        <f>'Development Schedule by Lot'!G40+'Development Schedule by Lot'!I40+'Development Schedule by Lot'!J40+'Development Schedule by Lot'!N40</f>
        <v>203860</v>
      </c>
      <c r="Q20" s="1020">
        <f>'Development Schedule by Lot'!K40+'Development Schedule by Lot'!L40+'Development Schedule by Lot'!M40</f>
        <v>154644</v>
      </c>
      <c r="R20" s="165"/>
      <c r="S20" s="81"/>
    </row>
    <row r="21" spans="1:19" x14ac:dyDescent="0.25">
      <c r="A21" s="79" t="s">
        <v>134</v>
      </c>
      <c r="B21" s="80"/>
      <c r="C21" s="80"/>
      <c r="D21" s="503"/>
      <c r="E21" s="231"/>
      <c r="F21" s="232"/>
      <c r="G21" s="233"/>
      <c r="H21" s="249"/>
      <c r="I21" s="250"/>
      <c r="J21" s="251"/>
      <c r="K21" s="268"/>
      <c r="L21" s="268"/>
      <c r="M21" s="268"/>
      <c r="N21" s="268"/>
      <c r="O21" s="1016"/>
      <c r="P21" s="1019"/>
      <c r="Q21" s="1020"/>
      <c r="R21" s="165"/>
      <c r="S21" s="81"/>
    </row>
    <row r="22" spans="1:19" x14ac:dyDescent="0.25">
      <c r="A22" s="79" t="s">
        <v>137</v>
      </c>
      <c r="B22" s="80"/>
      <c r="C22" s="80"/>
      <c r="D22" s="503"/>
      <c r="E22" s="231"/>
      <c r="F22" s="232"/>
      <c r="G22" s="233"/>
      <c r="H22" s="249"/>
      <c r="I22" s="250"/>
      <c r="J22" s="251"/>
      <c r="K22" s="268"/>
      <c r="L22" s="268"/>
      <c r="M22" s="268"/>
      <c r="N22" s="268"/>
      <c r="O22" s="1016"/>
      <c r="P22" s="1018"/>
      <c r="Q22" s="1021"/>
      <c r="R22" s="167"/>
      <c r="S22" s="81"/>
    </row>
    <row r="23" spans="1:19" x14ac:dyDescent="0.25">
      <c r="A23" s="79" t="s">
        <v>135</v>
      </c>
      <c r="B23" s="80"/>
      <c r="C23" s="80"/>
      <c r="D23" s="503"/>
      <c r="E23" s="231">
        <f>O23/2</f>
        <v>114224</v>
      </c>
      <c r="F23" s="232">
        <f>E23</f>
        <v>114224</v>
      </c>
      <c r="G23" s="233"/>
      <c r="H23" s="249">
        <f>P23/2</f>
        <v>242215</v>
      </c>
      <c r="I23" s="250">
        <f>H23</f>
        <v>242215</v>
      </c>
      <c r="J23" s="251"/>
      <c r="K23" s="268">
        <f>Q23/2</f>
        <v>35744.5</v>
      </c>
      <c r="L23" s="268">
        <f>K23</f>
        <v>35744.5</v>
      </c>
      <c r="M23" s="268"/>
      <c r="N23" s="268"/>
      <c r="O23" s="1016">
        <f>SUM('Development Schedule by Lot'!C35:F35)</f>
        <v>228448</v>
      </c>
      <c r="P23" s="1019">
        <f>SUM('Development Schedule by Lot'!I35)+'Development Schedule by Lot'!P35</f>
        <v>484430</v>
      </c>
      <c r="Q23" s="1020">
        <f>SUM('Development Schedule by Lot'!L35:M35)</f>
        <v>71489</v>
      </c>
      <c r="R23" s="165"/>
      <c r="S23" s="81"/>
    </row>
    <row r="24" spans="1:19" ht="14.25" thickBot="1" x14ac:dyDescent="0.3">
      <c r="A24" s="79" t="s">
        <v>138</v>
      </c>
      <c r="B24" s="80"/>
      <c r="C24" s="80"/>
      <c r="D24" s="503"/>
      <c r="E24" s="231"/>
      <c r="F24" s="232"/>
      <c r="G24" s="233"/>
      <c r="H24" s="249"/>
      <c r="I24" s="250"/>
      <c r="J24" s="251"/>
      <c r="K24" s="268"/>
      <c r="L24" s="268"/>
      <c r="M24" s="268"/>
      <c r="N24" s="268"/>
      <c r="O24" s="1017"/>
      <c r="P24" s="259"/>
      <c r="Q24" s="1022"/>
      <c r="R24" s="167"/>
      <c r="S24" s="81"/>
    </row>
    <row r="25" spans="1:19" ht="14.25" thickBot="1" x14ac:dyDescent="0.3">
      <c r="A25" s="83" t="s">
        <v>48</v>
      </c>
      <c r="B25" s="84"/>
      <c r="C25" s="84"/>
      <c r="D25" s="504">
        <f t="shared" ref="D25:Q25" si="9">SUM(D6:D24)</f>
        <v>0</v>
      </c>
      <c r="E25" s="234">
        <f t="shared" si="9"/>
        <v>1292882.0125</v>
      </c>
      <c r="F25" s="235">
        <f t="shared" si="9"/>
        <v>1267960.9875</v>
      </c>
      <c r="G25" s="236">
        <f t="shared" si="9"/>
        <v>0</v>
      </c>
      <c r="H25" s="252">
        <f t="shared" si="9"/>
        <v>1291676</v>
      </c>
      <c r="I25" s="253">
        <f t="shared" si="9"/>
        <v>1095380</v>
      </c>
      <c r="J25" s="254">
        <f t="shared" si="9"/>
        <v>0</v>
      </c>
      <c r="K25" s="270">
        <f t="shared" si="9"/>
        <v>358866.5</v>
      </c>
      <c r="L25" s="271">
        <f t="shared" si="9"/>
        <v>358866.5</v>
      </c>
      <c r="M25" s="271">
        <f t="shared" si="9"/>
        <v>0</v>
      </c>
      <c r="N25" s="271">
        <f t="shared" si="9"/>
        <v>0</v>
      </c>
      <c r="O25" s="239">
        <f t="shared" si="9"/>
        <v>3557684</v>
      </c>
      <c r="P25" s="260">
        <f t="shared" si="9"/>
        <v>3254471</v>
      </c>
      <c r="Q25" s="275">
        <f t="shared" si="9"/>
        <v>905833</v>
      </c>
      <c r="R25" s="87"/>
      <c r="S25" s="81"/>
    </row>
    <row r="26" spans="1:19" ht="14.25" thickBot="1" x14ac:dyDescent="0.3">
      <c r="A26" s="95"/>
      <c r="B26" s="89"/>
      <c r="C26" s="89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6"/>
      <c r="P26" s="90"/>
      <c r="Q26" s="96"/>
      <c r="R26" s="90"/>
      <c r="S26" s="81"/>
    </row>
    <row r="27" spans="1:19" ht="14.25" thickBot="1" x14ac:dyDescent="0.3">
      <c r="A27" s="447" t="s">
        <v>299</v>
      </c>
      <c r="B27" s="448"/>
      <c r="C27" s="449"/>
      <c r="D27" s="453"/>
      <c r="E27" s="453"/>
      <c r="F27" s="453"/>
      <c r="G27" s="453"/>
      <c r="H27" s="453"/>
      <c r="I27" s="453"/>
      <c r="J27" s="453"/>
      <c r="K27" s="453"/>
      <c r="L27" s="454"/>
      <c r="M27" s="447"/>
      <c r="N27" s="448"/>
      <c r="O27" s="449"/>
      <c r="P27" s="453"/>
      <c r="Q27" s="814"/>
      <c r="R27" s="88"/>
    </row>
    <row r="28" spans="1:19" ht="14.25" thickBot="1" x14ac:dyDescent="0.3">
      <c r="A28" s="73"/>
      <c r="B28" s="74" t="s">
        <v>240</v>
      </c>
      <c r="C28" s="74"/>
      <c r="D28" s="500" t="s">
        <v>100</v>
      </c>
      <c r="E28" s="224" t="s">
        <v>56</v>
      </c>
      <c r="F28" s="225"/>
      <c r="G28" s="498"/>
      <c r="H28" s="240" t="s">
        <v>124</v>
      </c>
      <c r="I28" s="241"/>
      <c r="J28" s="242"/>
      <c r="K28" s="505" t="s">
        <v>125</v>
      </c>
      <c r="L28" s="262"/>
      <c r="M28" s="263"/>
      <c r="N28" s="263"/>
      <c r="O28" s="506" t="s">
        <v>56</v>
      </c>
      <c r="P28" s="507" t="s">
        <v>124</v>
      </c>
      <c r="Q28" s="508" t="s">
        <v>125</v>
      </c>
      <c r="R28" s="88"/>
    </row>
    <row r="29" spans="1:19" ht="14.25" thickBot="1" x14ac:dyDescent="0.3">
      <c r="A29" s="75"/>
      <c r="B29" s="76"/>
      <c r="C29" s="76"/>
      <c r="D29" s="501" t="s">
        <v>118</v>
      </c>
      <c r="E29" s="226">
        <v>2021</v>
      </c>
      <c r="F29" s="227">
        <f>E29+1</f>
        <v>2022</v>
      </c>
      <c r="G29" s="499">
        <f t="shared" ref="G29" si="10">F29+1</f>
        <v>2023</v>
      </c>
      <c r="H29" s="243">
        <f t="shared" ref="H29" si="11">G29+1</f>
        <v>2024</v>
      </c>
      <c r="I29" s="244">
        <f t="shared" ref="I29" si="12">H29+1</f>
        <v>2025</v>
      </c>
      <c r="J29" s="245">
        <f t="shared" ref="J29" si="13">I29+1</f>
        <v>2026</v>
      </c>
      <c r="K29" s="266">
        <f t="shared" ref="K29" si="14">J29+1</f>
        <v>2027</v>
      </c>
      <c r="L29" s="266">
        <f t="shared" ref="L29" si="15">K29+1</f>
        <v>2028</v>
      </c>
      <c r="M29" s="266">
        <f>L29+1</f>
        <v>2029</v>
      </c>
      <c r="N29" s="266">
        <f>M29+1</f>
        <v>2030</v>
      </c>
      <c r="O29" s="238" t="s">
        <v>227</v>
      </c>
      <c r="P29" s="256" t="s">
        <v>227</v>
      </c>
      <c r="Q29" s="273" t="s">
        <v>227</v>
      </c>
      <c r="R29" s="164"/>
    </row>
    <row r="30" spans="1:19" x14ac:dyDescent="0.25">
      <c r="A30" s="497" t="s">
        <v>179</v>
      </c>
      <c r="B30" s="77"/>
      <c r="C30" s="78"/>
      <c r="D30" s="502"/>
      <c r="E30" s="228"/>
      <c r="F30" s="229"/>
      <c r="G30" s="230"/>
      <c r="H30" s="246"/>
      <c r="I30" s="247"/>
      <c r="J30" s="248"/>
      <c r="K30" s="267"/>
      <c r="L30" s="267"/>
      <c r="M30" s="267"/>
      <c r="N30" s="267"/>
      <c r="O30" s="1015"/>
      <c r="P30" s="813"/>
      <c r="Q30" s="272"/>
      <c r="R30" s="88"/>
    </row>
    <row r="31" spans="1:19" x14ac:dyDescent="0.25">
      <c r="A31" s="79" t="s">
        <v>128</v>
      </c>
      <c r="B31" s="80"/>
      <c r="C31" s="80"/>
      <c r="D31" s="503">
        <v>0</v>
      </c>
      <c r="E31" s="231">
        <f>O31/2</f>
        <v>33499.899999999994</v>
      </c>
      <c r="F31" s="232">
        <f>E31</f>
        <v>33499.899999999994</v>
      </c>
      <c r="G31" s="233">
        <v>0</v>
      </c>
      <c r="H31" s="249">
        <f>P31/2</f>
        <v>30497.599999999999</v>
      </c>
      <c r="I31" s="250">
        <f>H31</f>
        <v>30497.599999999999</v>
      </c>
      <c r="J31" s="251">
        <v>0</v>
      </c>
      <c r="K31" s="268">
        <f>Q31/2</f>
        <v>25384.799999999996</v>
      </c>
      <c r="L31" s="268">
        <f>K31</f>
        <v>25384.799999999996</v>
      </c>
      <c r="M31" s="268">
        <v>0</v>
      </c>
      <c r="N31" s="268">
        <v>0</v>
      </c>
      <c r="O31" s="1016">
        <f>'Development Schedule by Lot'!C21+'Development Schedule by Lot'!D21+'Development Schedule by Lot'!E21+'Development Schedule by Lot'!F21+'Development Schedule by Lot'!O21</f>
        <v>66999.799999999988</v>
      </c>
      <c r="P31" s="1019">
        <f>'Development Schedule by Lot'!G21+'Development Schedule by Lot'!I21+'Development Schedule by Lot'!J21+'Development Schedule by Lot'!N21</f>
        <v>60995.199999999997</v>
      </c>
      <c r="Q31" s="1020">
        <f>'Development Schedule by Lot'!K21+'Development Schedule by Lot'!L21+'Development Schedule by Lot'!M21</f>
        <v>50769.599999999991</v>
      </c>
      <c r="R31" s="166"/>
      <c r="S31" s="81"/>
    </row>
    <row r="32" spans="1:19" x14ac:dyDescent="0.25">
      <c r="A32" s="79" t="s">
        <v>236</v>
      </c>
      <c r="B32" s="80"/>
      <c r="C32" s="80"/>
      <c r="D32" s="503"/>
      <c r="E32" s="231"/>
      <c r="F32" s="232"/>
      <c r="G32" s="233"/>
      <c r="H32" s="249"/>
      <c r="I32" s="250"/>
      <c r="J32" s="251"/>
      <c r="K32" s="268"/>
      <c r="L32" s="268"/>
      <c r="M32" s="268"/>
      <c r="N32" s="268"/>
      <c r="O32" s="1016">
        <f>'Development Schedule by Lot'!C25+'Development Schedule by Lot'!D25+'Development Schedule by Lot'!E25+'Development Schedule by Lot'!F25+'Development Schedule by Lot'!O25</f>
        <v>628009.82999999996</v>
      </c>
      <c r="P32" s="1019">
        <f>'Development Schedule by Lot'!G25+'Development Schedule by Lot'!I25+'Development Schedule by Lot'!J25+'Development Schedule by Lot'!N25</f>
        <v>546471.44999999995</v>
      </c>
      <c r="Q32" s="1020">
        <f>'Development Schedule by Lot'!K25+'Development Schedule by Lot'!L25+'Development Schedule by Lot'!M25</f>
        <v>118502.99999999999</v>
      </c>
      <c r="R32" s="166"/>
      <c r="S32" s="81"/>
    </row>
    <row r="33" spans="1:19" x14ac:dyDescent="0.25">
      <c r="A33" s="79" t="s">
        <v>237</v>
      </c>
      <c r="B33" s="80"/>
      <c r="C33" s="80"/>
      <c r="D33" s="503"/>
      <c r="E33" s="231"/>
      <c r="F33" s="232"/>
      <c r="G33" s="233"/>
      <c r="H33" s="249"/>
      <c r="I33" s="250"/>
      <c r="J33" s="251"/>
      <c r="K33" s="268"/>
      <c r="L33" s="268"/>
      <c r="M33" s="268"/>
      <c r="N33" s="268"/>
      <c r="O33" s="1016">
        <f>'Development Schedule by Lot'!C27+'Development Schedule by Lot'!D27+'Development Schedule by Lot'!E27+'Development Schedule by Lot'!F27+'Development Schedule by Lot'!O27</f>
        <v>69778.87</v>
      </c>
      <c r="P33" s="1019">
        <f>'Development Schedule by Lot'!G27+'Development Schedule by Lot'!I27+'Development Schedule by Lot'!J27+'Development Schedule by Lot'!N27</f>
        <v>60719.049999999996</v>
      </c>
      <c r="Q33" s="1020">
        <f>'Development Schedule by Lot'!K27+'Development Schedule by Lot'!L27+'Development Schedule by Lot'!M27</f>
        <v>13167</v>
      </c>
      <c r="R33" s="166"/>
      <c r="S33" s="81"/>
    </row>
    <row r="34" spans="1:19" x14ac:dyDescent="0.25">
      <c r="A34" s="79" t="s">
        <v>129</v>
      </c>
      <c r="B34" s="80"/>
      <c r="C34" s="80"/>
      <c r="D34" s="503">
        <v>0</v>
      </c>
      <c r="E34" s="231">
        <f t="shared" ref="E34:E45" si="16">O34/2</f>
        <v>78501.228749999995</v>
      </c>
      <c r="F34" s="232">
        <f t="shared" ref="F34:F45" si="17">E34</f>
        <v>78501.228749999995</v>
      </c>
      <c r="G34" s="233">
        <v>0</v>
      </c>
      <c r="H34" s="249">
        <f t="shared" ref="H34:H45" si="18">P34/2</f>
        <v>68308.931249999994</v>
      </c>
      <c r="I34" s="250">
        <f t="shared" ref="I34:I45" si="19">H34</f>
        <v>68308.931249999994</v>
      </c>
      <c r="J34" s="251">
        <v>0</v>
      </c>
      <c r="K34" s="268">
        <f t="shared" ref="K34:K45" si="20">Q34/2</f>
        <v>14812.874999999998</v>
      </c>
      <c r="L34" s="268">
        <f t="shared" ref="L34:L45" si="21">K34</f>
        <v>14812.874999999998</v>
      </c>
      <c r="M34" s="268">
        <v>0</v>
      </c>
      <c r="N34" s="268">
        <v>0</v>
      </c>
      <c r="O34" s="1016">
        <f t="shared" ref="O34:Q35" si="22">O32*0.25</f>
        <v>157002.45749999999</v>
      </c>
      <c r="P34" s="1019">
        <f t="shared" si="22"/>
        <v>136617.86249999999</v>
      </c>
      <c r="Q34" s="1020">
        <f t="shared" si="22"/>
        <v>29625.749999999996</v>
      </c>
      <c r="R34" s="165"/>
      <c r="S34" s="81"/>
    </row>
    <row r="35" spans="1:19" x14ac:dyDescent="0.25">
      <c r="A35" s="79" t="s">
        <v>130</v>
      </c>
      <c r="B35" s="80"/>
      <c r="C35" s="80"/>
      <c r="D35" s="503">
        <v>0</v>
      </c>
      <c r="E35" s="231">
        <f>O35</f>
        <v>17444.717499999999</v>
      </c>
      <c r="F35" s="232">
        <v>0</v>
      </c>
      <c r="G35" s="233">
        <v>0</v>
      </c>
      <c r="H35" s="249">
        <f t="shared" si="18"/>
        <v>7589.8812499999995</v>
      </c>
      <c r="I35" s="250">
        <f t="shared" si="19"/>
        <v>7589.8812499999995</v>
      </c>
      <c r="J35" s="251">
        <v>0</v>
      </c>
      <c r="K35" s="268">
        <f t="shared" si="20"/>
        <v>1645.875</v>
      </c>
      <c r="L35" s="268">
        <f t="shared" si="21"/>
        <v>1645.875</v>
      </c>
      <c r="M35" s="268">
        <v>0</v>
      </c>
      <c r="N35" s="268">
        <v>0</v>
      </c>
      <c r="O35" s="1016">
        <f t="shared" si="22"/>
        <v>17444.717499999999</v>
      </c>
      <c r="P35" s="1019">
        <f t="shared" si="22"/>
        <v>15179.762499999999</v>
      </c>
      <c r="Q35" s="1020">
        <f t="shared" si="22"/>
        <v>3291.75</v>
      </c>
      <c r="R35" s="165"/>
      <c r="S35" s="81"/>
    </row>
    <row r="36" spans="1:19" x14ac:dyDescent="0.25">
      <c r="A36" s="79" t="s">
        <v>131</v>
      </c>
      <c r="B36" s="80"/>
      <c r="C36" s="80"/>
      <c r="D36" s="503">
        <v>0</v>
      </c>
      <c r="E36" s="231">
        <f t="shared" si="16"/>
        <v>235503.68624999997</v>
      </c>
      <c r="F36" s="232">
        <f t="shared" si="17"/>
        <v>235503.68624999997</v>
      </c>
      <c r="G36" s="233">
        <v>0</v>
      </c>
      <c r="H36" s="249">
        <f t="shared" si="18"/>
        <v>204926.79374999998</v>
      </c>
      <c r="I36" s="250">
        <f t="shared" si="19"/>
        <v>204926.79374999998</v>
      </c>
      <c r="J36" s="251">
        <v>0</v>
      </c>
      <c r="K36" s="268">
        <f t="shared" si="20"/>
        <v>44438.624999999993</v>
      </c>
      <c r="L36" s="268">
        <f t="shared" si="21"/>
        <v>44438.624999999993</v>
      </c>
      <c r="M36" s="268">
        <v>0</v>
      </c>
      <c r="N36" s="268">
        <v>0</v>
      </c>
      <c r="O36" s="1016">
        <f t="shared" ref="O36:Q37" si="23">O32*0.75</f>
        <v>471007.37249999994</v>
      </c>
      <c r="P36" s="1019">
        <f t="shared" si="23"/>
        <v>409853.58749999997</v>
      </c>
      <c r="Q36" s="1020">
        <f t="shared" si="23"/>
        <v>88877.249999999985</v>
      </c>
      <c r="R36" s="165"/>
      <c r="S36" s="81"/>
    </row>
    <row r="37" spans="1:19" x14ac:dyDescent="0.25">
      <c r="A37" s="79" t="s">
        <v>132</v>
      </c>
      <c r="B37" s="80"/>
      <c r="C37" s="80"/>
      <c r="D37" s="503">
        <v>0</v>
      </c>
      <c r="E37" s="231">
        <f t="shared" si="16"/>
        <v>26167.076249999998</v>
      </c>
      <c r="F37" s="232">
        <f t="shared" si="17"/>
        <v>26167.076249999998</v>
      </c>
      <c r="G37" s="233">
        <v>0</v>
      </c>
      <c r="H37" s="249">
        <f t="shared" si="18"/>
        <v>22769.643749999999</v>
      </c>
      <c r="I37" s="250">
        <f t="shared" si="19"/>
        <v>22769.643749999999</v>
      </c>
      <c r="J37" s="251">
        <v>0</v>
      </c>
      <c r="K37" s="268">
        <f t="shared" si="20"/>
        <v>4937.625</v>
      </c>
      <c r="L37" s="268">
        <f t="shared" si="21"/>
        <v>4937.625</v>
      </c>
      <c r="M37" s="268">
        <v>0</v>
      </c>
      <c r="N37" s="268">
        <v>0</v>
      </c>
      <c r="O37" s="1016">
        <f t="shared" si="23"/>
        <v>52334.152499999997</v>
      </c>
      <c r="P37" s="1019">
        <f t="shared" si="23"/>
        <v>45539.287499999999</v>
      </c>
      <c r="Q37" s="1020">
        <f t="shared" si="23"/>
        <v>9875.25</v>
      </c>
      <c r="R37" s="165"/>
      <c r="S37" s="81"/>
    </row>
    <row r="38" spans="1:19" x14ac:dyDescent="0.25">
      <c r="A38" s="82" t="s">
        <v>136</v>
      </c>
      <c r="B38" s="80"/>
      <c r="C38" s="80"/>
      <c r="D38" s="503">
        <v>0</v>
      </c>
      <c r="E38" s="231">
        <f t="shared" si="16"/>
        <v>268454.19999999995</v>
      </c>
      <c r="F38" s="232">
        <f t="shared" si="17"/>
        <v>268454.19999999995</v>
      </c>
      <c r="G38" s="233">
        <v>0</v>
      </c>
      <c r="H38" s="249">
        <f t="shared" si="18"/>
        <v>191771.65</v>
      </c>
      <c r="I38" s="250">
        <f t="shared" si="19"/>
        <v>191771.65</v>
      </c>
      <c r="J38" s="251">
        <v>0</v>
      </c>
      <c r="K38" s="268">
        <f t="shared" si="20"/>
        <v>59849.999999999993</v>
      </c>
      <c r="L38" s="268">
        <f t="shared" si="21"/>
        <v>59849.999999999993</v>
      </c>
      <c r="M38" s="268">
        <v>0</v>
      </c>
      <c r="N38" s="268">
        <v>0</v>
      </c>
      <c r="O38" s="1016">
        <f>'Development Schedule by Lot'!C19+'Development Schedule by Lot'!D19+'Development Schedule by Lot'!E19+'Development Schedule by Lot'!F19+'Development Schedule by Lot'!O19</f>
        <v>536908.39999999991</v>
      </c>
      <c r="P38" s="1019">
        <f>'Development Schedule by Lot'!G19+'Development Schedule by Lot'!I19+'Development Schedule by Lot'!J19+'Development Schedule by Lot'!N19</f>
        <v>383543.3</v>
      </c>
      <c r="Q38" s="1020">
        <f>'Development Schedule by Lot'!K19+'Development Schedule by Lot'!L19+'Development Schedule by Lot'!M19</f>
        <v>119699.99999999999</v>
      </c>
      <c r="R38" s="165"/>
      <c r="S38" s="81"/>
    </row>
    <row r="39" spans="1:19" x14ac:dyDescent="0.25">
      <c r="A39" s="79" t="s">
        <v>127</v>
      </c>
      <c r="B39" s="80"/>
      <c r="C39" s="80"/>
      <c r="D39" s="503"/>
      <c r="E39" s="231"/>
      <c r="F39" s="232"/>
      <c r="G39" s="233"/>
      <c r="H39" s="249">
        <f>P39</f>
        <v>137407.19999999998</v>
      </c>
      <c r="I39" s="250"/>
      <c r="J39" s="251"/>
      <c r="K39" s="268"/>
      <c r="L39" s="268"/>
      <c r="M39" s="268"/>
      <c r="N39" s="268"/>
      <c r="O39" s="1016">
        <f>0.7*O14</f>
        <v>0</v>
      </c>
      <c r="P39" s="1019">
        <f>0.7*P14</f>
        <v>137407.19999999998</v>
      </c>
      <c r="Q39" s="1020">
        <f>0.7*Q14</f>
        <v>0</v>
      </c>
      <c r="R39" s="165"/>
      <c r="S39" s="81"/>
    </row>
    <row r="40" spans="1:19" x14ac:dyDescent="0.25">
      <c r="A40" s="79" t="s">
        <v>238</v>
      </c>
      <c r="B40" s="80"/>
      <c r="C40" s="80"/>
      <c r="D40" s="503">
        <v>0</v>
      </c>
      <c r="E40" s="231">
        <f t="shared" si="16"/>
        <v>65893.45</v>
      </c>
      <c r="F40" s="232">
        <f t="shared" si="17"/>
        <v>65893.45</v>
      </c>
      <c r="G40" s="233">
        <v>0</v>
      </c>
      <c r="H40" s="249">
        <f t="shared" si="18"/>
        <v>0</v>
      </c>
      <c r="I40" s="250">
        <f t="shared" si="19"/>
        <v>0</v>
      </c>
      <c r="J40" s="251">
        <v>0</v>
      </c>
      <c r="K40" s="268">
        <f t="shared" si="20"/>
        <v>0</v>
      </c>
      <c r="L40" s="268">
        <f t="shared" si="21"/>
        <v>0</v>
      </c>
      <c r="M40" s="268">
        <v>0</v>
      </c>
      <c r="N40" s="268">
        <v>0</v>
      </c>
      <c r="O40" s="1016">
        <f>'Development Schedule by Lot'!C31+'Development Schedule by Lot'!D31+'Development Schedule by Lot'!E31+'Development Schedule by Lot'!F31+'Development Schedule by Lot'!O31</f>
        <v>131786.9</v>
      </c>
      <c r="P40" s="1019">
        <f>'Development Schedule by Lot'!G31+'Development Schedule by Lot'!I31+'Development Schedule by Lot'!J31+'Development Schedule by Lot'!N31</f>
        <v>0</v>
      </c>
      <c r="Q40" s="1020">
        <f>'Development Schedule by Lot'!K31+'Development Schedule by Lot'!L31+'Development Schedule by Lot'!M31</f>
        <v>0</v>
      </c>
      <c r="R40" s="165"/>
      <c r="S40" s="81"/>
    </row>
    <row r="41" spans="1:19" x14ac:dyDescent="0.25">
      <c r="A41" s="79" t="s">
        <v>239</v>
      </c>
      <c r="B41" s="80"/>
      <c r="C41" s="80"/>
      <c r="D41" s="503">
        <v>0</v>
      </c>
      <c r="E41" s="231">
        <f t="shared" si="16"/>
        <v>0</v>
      </c>
      <c r="F41" s="232">
        <f t="shared" si="17"/>
        <v>0</v>
      </c>
      <c r="G41" s="233">
        <v>0</v>
      </c>
      <c r="H41" s="249">
        <f t="shared" si="18"/>
        <v>0</v>
      </c>
      <c r="I41" s="250">
        <f t="shared" si="19"/>
        <v>0</v>
      </c>
      <c r="J41" s="251">
        <v>0</v>
      </c>
      <c r="K41" s="268">
        <f t="shared" si="20"/>
        <v>20990.199999999997</v>
      </c>
      <c r="L41" s="268">
        <f t="shared" si="21"/>
        <v>20990.199999999997</v>
      </c>
      <c r="M41" s="268">
        <v>0</v>
      </c>
      <c r="N41" s="268">
        <v>0</v>
      </c>
      <c r="O41" s="1016">
        <f>'Development Schedule by Lot'!C33+'Development Schedule by Lot'!D33+'Development Schedule by Lot'!E33+'Development Schedule by Lot'!F33+'Development Schedule by Lot'!O33</f>
        <v>0</v>
      </c>
      <c r="P41" s="1019">
        <f>'Development Schedule by Lot'!G33+'Development Schedule by Lot'!I33+'Development Schedule by Lot'!J33+'Development Schedule by Lot'!N33</f>
        <v>0</v>
      </c>
      <c r="Q41" s="1020">
        <f>'Development Schedule by Lot'!K33+'Development Schedule by Lot'!L33+'Development Schedule by Lot'!M33</f>
        <v>41980.399999999994</v>
      </c>
      <c r="R41" s="165"/>
      <c r="S41" s="81"/>
    </row>
    <row r="42" spans="1:19" x14ac:dyDescent="0.25">
      <c r="A42" s="79" t="s">
        <v>176</v>
      </c>
      <c r="B42" s="80"/>
      <c r="C42" s="80"/>
      <c r="D42" s="503"/>
      <c r="E42" s="231"/>
      <c r="F42" s="232"/>
      <c r="G42" s="233"/>
      <c r="H42" s="249"/>
      <c r="I42" s="250"/>
      <c r="J42" s="251"/>
      <c r="K42" s="268"/>
      <c r="L42" s="268"/>
      <c r="M42" s="268"/>
      <c r="N42" s="268"/>
      <c r="O42" s="1016"/>
      <c r="P42" s="1019"/>
      <c r="Q42" s="1020"/>
      <c r="R42" s="165"/>
      <c r="S42" s="81"/>
    </row>
    <row r="43" spans="1:19" x14ac:dyDescent="0.25">
      <c r="A43" s="79" t="s">
        <v>177</v>
      </c>
      <c r="B43" s="80"/>
      <c r="C43" s="80"/>
      <c r="D43" s="503"/>
      <c r="E43" s="231"/>
      <c r="F43" s="232"/>
      <c r="G43" s="233"/>
      <c r="H43" s="249"/>
      <c r="I43" s="250"/>
      <c r="J43" s="251"/>
      <c r="K43" s="268"/>
      <c r="L43" s="268"/>
      <c r="M43" s="268"/>
      <c r="N43" s="268"/>
      <c r="O43" s="1016"/>
      <c r="P43" s="1019"/>
      <c r="Q43" s="1020"/>
      <c r="R43" s="165"/>
      <c r="S43" s="81"/>
    </row>
    <row r="44" spans="1:19" x14ac:dyDescent="0.25">
      <c r="A44" s="79" t="s">
        <v>178</v>
      </c>
      <c r="B44" s="80"/>
      <c r="C44" s="80"/>
      <c r="D44" s="503"/>
      <c r="E44" s="231"/>
      <c r="F44" s="232"/>
      <c r="G44" s="233"/>
      <c r="H44" s="249"/>
      <c r="I44" s="250"/>
      <c r="J44" s="251"/>
      <c r="K44" s="268"/>
      <c r="L44" s="268"/>
      <c r="M44" s="268"/>
      <c r="N44" s="268"/>
      <c r="O44" s="1016"/>
      <c r="P44" s="1019"/>
      <c r="Q44" s="1020"/>
      <c r="R44" s="165"/>
      <c r="S44" s="81"/>
    </row>
    <row r="45" spans="1:19" x14ac:dyDescent="0.25">
      <c r="A45" s="79" t="s">
        <v>133</v>
      </c>
      <c r="B45" s="80"/>
      <c r="C45" s="80"/>
      <c r="D45" s="503">
        <v>0</v>
      </c>
      <c r="E45" s="231">
        <f t="shared" si="16"/>
        <v>99596.349999999991</v>
      </c>
      <c r="F45" s="232">
        <f t="shared" si="17"/>
        <v>99596.349999999991</v>
      </c>
      <c r="G45" s="233">
        <v>0</v>
      </c>
      <c r="H45" s="249">
        <f t="shared" si="18"/>
        <v>71351</v>
      </c>
      <c r="I45" s="250">
        <f t="shared" si="19"/>
        <v>71351</v>
      </c>
      <c r="J45" s="251">
        <v>0</v>
      </c>
      <c r="K45" s="268">
        <f t="shared" si="20"/>
        <v>54125.399999999994</v>
      </c>
      <c r="L45" s="268">
        <f t="shared" si="21"/>
        <v>54125.399999999994</v>
      </c>
      <c r="M45" s="268">
        <f>J45</f>
        <v>0</v>
      </c>
      <c r="N45" s="268">
        <v>0</v>
      </c>
      <c r="O45" s="1016">
        <f>'Development Schedule by Lot'!C41+'Development Schedule by Lot'!D41+'Development Schedule by Lot'!E41+'Development Schedule by Lot'!F41+'Development Schedule by Lot'!O41</f>
        <v>199192.69999999998</v>
      </c>
      <c r="P45" s="1019">
        <f>'Development Schedule by Lot'!G41+'Development Schedule by Lot'!I41+'Development Schedule by Lot'!J41+'Development Schedule by Lot'!N41</f>
        <v>142702</v>
      </c>
      <c r="Q45" s="1020">
        <f>'Development Schedule by Lot'!K41+'Development Schedule by Lot'!L41+'Development Schedule by Lot'!M41</f>
        <v>108250.79999999999</v>
      </c>
      <c r="R45" s="165"/>
      <c r="S45" s="81"/>
    </row>
    <row r="46" spans="1:19" x14ac:dyDescent="0.25">
      <c r="A46" s="79" t="s">
        <v>134</v>
      </c>
      <c r="B46" s="80"/>
      <c r="C46" s="80"/>
      <c r="D46" s="503"/>
      <c r="E46" s="231"/>
      <c r="F46" s="232"/>
      <c r="G46" s="233"/>
      <c r="H46" s="249"/>
      <c r="I46" s="250"/>
      <c r="J46" s="251"/>
      <c r="K46" s="268"/>
      <c r="L46" s="268"/>
      <c r="M46" s="268"/>
      <c r="N46" s="268"/>
      <c r="O46" s="1017"/>
      <c r="P46" s="257"/>
      <c r="Q46" s="1023"/>
      <c r="R46" s="165"/>
      <c r="S46" s="81"/>
    </row>
    <row r="47" spans="1:19" x14ac:dyDescent="0.25">
      <c r="A47" s="79" t="s">
        <v>137</v>
      </c>
      <c r="B47" s="80"/>
      <c r="C47" s="80"/>
      <c r="D47" s="503"/>
      <c r="E47" s="231"/>
      <c r="F47" s="232"/>
      <c r="G47" s="233"/>
      <c r="H47" s="249"/>
      <c r="I47" s="250"/>
      <c r="J47" s="251"/>
      <c r="K47" s="268"/>
      <c r="L47" s="268"/>
      <c r="M47" s="268"/>
      <c r="N47" s="268"/>
      <c r="O47" s="1017"/>
      <c r="P47" s="258"/>
      <c r="Q47" s="1022"/>
      <c r="R47" s="167"/>
      <c r="S47" s="81"/>
    </row>
    <row r="48" spans="1:19" x14ac:dyDescent="0.25">
      <c r="A48" s="79" t="s">
        <v>135</v>
      </c>
      <c r="B48" s="80"/>
      <c r="C48" s="80"/>
      <c r="D48" s="503"/>
      <c r="E48" s="231"/>
      <c r="F48" s="232"/>
      <c r="G48" s="233"/>
      <c r="H48" s="249"/>
      <c r="I48" s="250"/>
      <c r="J48" s="251"/>
      <c r="K48" s="268"/>
      <c r="L48" s="268"/>
      <c r="M48" s="268"/>
      <c r="N48" s="268"/>
      <c r="O48" s="1017"/>
      <c r="P48" s="257"/>
      <c r="Q48" s="1023"/>
      <c r="R48" s="165"/>
      <c r="S48" s="81"/>
    </row>
    <row r="49" spans="1:43" ht="14.25" thickBot="1" x14ac:dyDescent="0.3">
      <c r="A49" s="79" t="s">
        <v>138</v>
      </c>
      <c r="B49" s="80"/>
      <c r="C49" s="93"/>
      <c r="D49" s="503"/>
      <c r="E49" s="231"/>
      <c r="F49" s="232"/>
      <c r="G49" s="233"/>
      <c r="H49" s="249"/>
      <c r="I49" s="250"/>
      <c r="J49" s="251"/>
      <c r="K49" s="268"/>
      <c r="L49" s="268"/>
      <c r="M49" s="268"/>
      <c r="N49" s="268"/>
      <c r="O49" s="1017"/>
      <c r="P49" s="258"/>
      <c r="Q49" s="274"/>
      <c r="R49" s="167"/>
      <c r="S49" s="81"/>
    </row>
    <row r="50" spans="1:43" ht="14.25" thickBot="1" x14ac:dyDescent="0.3">
      <c r="A50" s="83" t="s">
        <v>48</v>
      </c>
      <c r="B50" s="84"/>
      <c r="C50" s="84"/>
      <c r="D50" s="504">
        <f t="shared" ref="D50:Q50" si="24">SUM(D31:D49)</f>
        <v>0</v>
      </c>
      <c r="E50" s="234">
        <f t="shared" si="24"/>
        <v>825060.60874999978</v>
      </c>
      <c r="F50" s="235">
        <f t="shared" si="24"/>
        <v>807615.89124999975</v>
      </c>
      <c r="G50" s="236">
        <f t="shared" si="24"/>
        <v>0</v>
      </c>
      <c r="H50" s="252">
        <f t="shared" si="24"/>
        <v>734622.7</v>
      </c>
      <c r="I50" s="253">
        <f t="shared" si="24"/>
        <v>597215.5</v>
      </c>
      <c r="J50" s="254">
        <f t="shared" si="24"/>
        <v>0</v>
      </c>
      <c r="K50" s="271">
        <f t="shared" si="24"/>
        <v>226185.4</v>
      </c>
      <c r="L50" s="271">
        <f t="shared" si="24"/>
        <v>226185.4</v>
      </c>
      <c r="M50" s="271">
        <f t="shared" si="24"/>
        <v>0</v>
      </c>
      <c r="N50" s="271">
        <f t="shared" si="24"/>
        <v>0</v>
      </c>
      <c r="O50" s="239">
        <f t="shared" si="24"/>
        <v>2330465.2000000002</v>
      </c>
      <c r="P50" s="260">
        <f t="shared" si="24"/>
        <v>1939028.7</v>
      </c>
      <c r="Q50" s="275">
        <f t="shared" si="24"/>
        <v>584040.80000000005</v>
      </c>
      <c r="R50" s="87"/>
      <c r="S50" s="81"/>
    </row>
    <row r="51" spans="1:43" x14ac:dyDescent="0.25">
      <c r="O51" s="81"/>
      <c r="P51" s="81"/>
      <c r="Q51" s="81"/>
      <c r="R51" s="81"/>
    </row>
    <row r="52" spans="1:43" x14ac:dyDescent="0.25">
      <c r="A52" s="91"/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</row>
    <row r="53" spans="1:43" x14ac:dyDescent="0.25">
      <c r="A53" s="91"/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</row>
    <row r="54" spans="1:43" x14ac:dyDescent="0.25">
      <c r="A54" s="163"/>
      <c r="B54" s="163"/>
      <c r="C54" s="163"/>
      <c r="D54" s="163"/>
      <c r="E54" s="163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</row>
    <row r="55" spans="1:43" x14ac:dyDescent="0.25">
      <c r="A55" s="162"/>
      <c r="B55" s="162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</row>
    <row r="56" spans="1:43" x14ac:dyDescent="0.25">
      <c r="A56" s="162"/>
      <c r="B56" s="162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</row>
    <row r="57" spans="1:43" x14ac:dyDescent="0.25">
      <c r="A57" s="168"/>
      <c r="B57" s="169"/>
      <c r="C57" s="169"/>
      <c r="D57" s="169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</row>
    <row r="58" spans="1:43" x14ac:dyDescent="0.25">
      <c r="A58" s="168"/>
      <c r="B58" s="169"/>
      <c r="C58" s="169"/>
      <c r="D58" s="169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</row>
    <row r="59" spans="1:43" x14ac:dyDescent="0.25">
      <c r="A59" s="168"/>
      <c r="B59" s="169"/>
      <c r="C59" s="169"/>
      <c r="D59" s="169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</row>
    <row r="60" spans="1:43" x14ac:dyDescent="0.25">
      <c r="A60" s="168"/>
      <c r="B60" s="169"/>
      <c r="C60" s="169"/>
      <c r="D60" s="169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</row>
    <row r="61" spans="1:43" x14ac:dyDescent="0.25">
      <c r="A61" s="168"/>
      <c r="B61" s="169"/>
      <c r="C61" s="169"/>
      <c r="D61" s="169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</row>
    <row r="62" spans="1:43" x14ac:dyDescent="0.25">
      <c r="A62" s="170"/>
      <c r="B62" s="170"/>
      <c r="C62" s="171"/>
      <c r="D62" s="170"/>
      <c r="E62" s="170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</row>
    <row r="63" spans="1:43" x14ac:dyDescent="0.25">
      <c r="A63" s="85"/>
      <c r="B63" s="85"/>
      <c r="C63" s="86"/>
      <c r="D63" s="85"/>
      <c r="E63" s="85"/>
    </row>
    <row r="64" spans="1:43" x14ac:dyDescent="0.25">
      <c r="A64" s="85"/>
      <c r="B64" s="85"/>
      <c r="C64" s="86"/>
      <c r="D64" s="85"/>
      <c r="E64" s="85"/>
    </row>
  </sheetData>
  <pageMargins left="0.7" right="0.7" top="0.75" bottom="0.75" header="0.3" footer="0.3"/>
  <pageSetup scale="31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topLeftCell="A7" zoomScale="85" zoomScaleNormal="85" workbookViewId="0">
      <selection activeCell="R12" sqref="R12"/>
    </sheetView>
  </sheetViews>
  <sheetFormatPr defaultColWidth="11.42578125" defaultRowHeight="12.75" x14ac:dyDescent="0.2"/>
  <cols>
    <col min="1" max="15" width="14.85546875" style="55" customWidth="1"/>
    <col min="16" max="16" width="14.85546875" style="414" customWidth="1"/>
    <col min="17" max="18" width="14.85546875" style="55" customWidth="1"/>
    <col min="19" max="16384" width="11.42578125" style="55"/>
  </cols>
  <sheetData>
    <row r="1" spans="1:18" x14ac:dyDescent="0.2">
      <c r="A1" s="459" t="s">
        <v>71</v>
      </c>
      <c r="B1" s="98">
        <v>198923</v>
      </c>
    </row>
    <row r="2" spans="1:18" ht="13.5" thickBot="1" x14ac:dyDescent="0.25"/>
    <row r="3" spans="1:18" ht="13.5" thickBot="1" x14ac:dyDescent="0.25">
      <c r="A3" s="511"/>
      <c r="B3" s="509" t="s">
        <v>56</v>
      </c>
      <c r="C3" s="509" t="s">
        <v>56</v>
      </c>
      <c r="D3" s="509" t="s">
        <v>56</v>
      </c>
      <c r="E3" s="509" t="s">
        <v>56</v>
      </c>
      <c r="F3" s="509" t="s">
        <v>56</v>
      </c>
      <c r="G3" s="509" t="s">
        <v>124</v>
      </c>
      <c r="H3" s="509" t="s">
        <v>124</v>
      </c>
      <c r="I3" s="509" t="s">
        <v>124</v>
      </c>
      <c r="J3" s="509" t="s">
        <v>124</v>
      </c>
      <c r="K3" s="509" t="s">
        <v>125</v>
      </c>
      <c r="L3" s="509" t="s">
        <v>125</v>
      </c>
      <c r="M3" s="509" t="s">
        <v>125</v>
      </c>
      <c r="N3" s="509" t="s">
        <v>124</v>
      </c>
      <c r="O3" s="509" t="s">
        <v>56</v>
      </c>
      <c r="P3" s="510"/>
      <c r="Q3" s="512"/>
    </row>
    <row r="4" spans="1:18" ht="13.5" thickBot="1" x14ac:dyDescent="0.25">
      <c r="A4" s="513" t="s">
        <v>184</v>
      </c>
      <c r="B4" s="560" t="s">
        <v>209</v>
      </c>
      <c r="C4" s="561" t="s">
        <v>210</v>
      </c>
      <c r="D4" s="561" t="s">
        <v>211</v>
      </c>
      <c r="E4" s="561" t="s">
        <v>212</v>
      </c>
      <c r="F4" s="561" t="s">
        <v>213</v>
      </c>
      <c r="G4" s="562" t="s">
        <v>214</v>
      </c>
      <c r="H4" s="562" t="s">
        <v>215</v>
      </c>
      <c r="I4" s="563" t="s">
        <v>216</v>
      </c>
      <c r="J4" s="563" t="s">
        <v>217</v>
      </c>
      <c r="K4" s="564" t="s">
        <v>218</v>
      </c>
      <c r="L4" s="564" t="s">
        <v>219</v>
      </c>
      <c r="M4" s="564" t="s">
        <v>220</v>
      </c>
      <c r="N4" s="562" t="s">
        <v>221</v>
      </c>
      <c r="O4" s="565" t="s">
        <v>305</v>
      </c>
      <c r="P4" s="566" t="s">
        <v>249</v>
      </c>
      <c r="Q4" s="514" t="s">
        <v>175</v>
      </c>
      <c r="R4" s="515" t="s">
        <v>223</v>
      </c>
    </row>
    <row r="5" spans="1:18" x14ac:dyDescent="0.2">
      <c r="A5" s="545" t="s">
        <v>185</v>
      </c>
      <c r="B5" s="531">
        <f>SUM(C5:F5)</f>
        <v>215509</v>
      </c>
      <c r="C5" s="415">
        <v>54161</v>
      </c>
      <c r="D5" s="415">
        <v>53934</v>
      </c>
      <c r="E5" s="415">
        <v>53418</v>
      </c>
      <c r="F5" s="415">
        <v>53996</v>
      </c>
      <c r="G5" s="416">
        <v>52206</v>
      </c>
      <c r="H5" s="416">
        <v>99590</v>
      </c>
      <c r="I5" s="416"/>
      <c r="J5" s="567"/>
      <c r="K5" s="417">
        <v>51152</v>
      </c>
      <c r="L5" s="417">
        <v>114063</v>
      </c>
      <c r="M5" s="417">
        <v>18278</v>
      </c>
      <c r="N5" s="416">
        <v>21217</v>
      </c>
      <c r="O5" s="415">
        <v>72900</v>
      </c>
      <c r="P5" s="568"/>
      <c r="Q5" s="516"/>
      <c r="R5" s="1"/>
    </row>
    <row r="6" spans="1:18" x14ac:dyDescent="0.2">
      <c r="A6" s="545" t="s">
        <v>186</v>
      </c>
      <c r="B6" s="569">
        <v>5</v>
      </c>
      <c r="C6" s="570"/>
      <c r="D6" s="570"/>
      <c r="E6" s="570"/>
      <c r="F6" s="570"/>
      <c r="G6" s="571">
        <v>5</v>
      </c>
      <c r="H6" s="571">
        <v>5</v>
      </c>
      <c r="I6" s="571"/>
      <c r="J6" s="571"/>
      <c r="K6" s="572">
        <v>5</v>
      </c>
      <c r="L6" s="572">
        <v>2</v>
      </c>
      <c r="M6" s="572">
        <v>2</v>
      </c>
      <c r="N6" s="571">
        <v>5</v>
      </c>
      <c r="O6" s="570">
        <v>11</v>
      </c>
      <c r="P6" s="573"/>
      <c r="Q6" s="517"/>
      <c r="R6" s="1"/>
    </row>
    <row r="7" spans="1:18" x14ac:dyDescent="0.2">
      <c r="A7" s="545" t="s">
        <v>187</v>
      </c>
      <c r="B7" s="574">
        <f t="shared" ref="B7:O7" si="0">B5*B6</f>
        <v>1077545</v>
      </c>
      <c r="C7" s="574">
        <f t="shared" si="0"/>
        <v>0</v>
      </c>
      <c r="D7" s="574">
        <f t="shared" si="0"/>
        <v>0</v>
      </c>
      <c r="E7" s="574">
        <f t="shared" si="0"/>
        <v>0</v>
      </c>
      <c r="F7" s="574">
        <f t="shared" si="0"/>
        <v>0</v>
      </c>
      <c r="G7" s="575">
        <f t="shared" si="0"/>
        <v>261030</v>
      </c>
      <c r="H7" s="575">
        <f t="shared" si="0"/>
        <v>497950</v>
      </c>
      <c r="I7" s="575">
        <f t="shared" si="0"/>
        <v>0</v>
      </c>
      <c r="J7" s="575">
        <f t="shared" si="0"/>
        <v>0</v>
      </c>
      <c r="K7" s="576">
        <f t="shared" si="0"/>
        <v>255760</v>
      </c>
      <c r="L7" s="576">
        <f t="shared" si="0"/>
        <v>228126</v>
      </c>
      <c r="M7" s="576">
        <f t="shared" si="0"/>
        <v>36556</v>
      </c>
      <c r="N7" s="575">
        <f t="shared" si="0"/>
        <v>106085</v>
      </c>
      <c r="O7" s="574">
        <f t="shared" si="0"/>
        <v>801900</v>
      </c>
      <c r="P7" s="577"/>
      <c r="Q7" s="518"/>
      <c r="R7" s="1"/>
    </row>
    <row r="8" spans="1:18" x14ac:dyDescent="0.2">
      <c r="A8" s="545" t="s">
        <v>188</v>
      </c>
      <c r="B8" s="578">
        <v>11</v>
      </c>
      <c r="C8" s="578">
        <v>11</v>
      </c>
      <c r="D8" s="578">
        <v>11</v>
      </c>
      <c r="E8" s="578">
        <v>11</v>
      </c>
      <c r="F8" s="578">
        <v>11</v>
      </c>
      <c r="G8" s="579">
        <v>11</v>
      </c>
      <c r="H8" s="579">
        <v>11</v>
      </c>
      <c r="I8" s="579"/>
      <c r="J8" s="579"/>
      <c r="K8" s="580">
        <v>11</v>
      </c>
      <c r="L8" s="580">
        <v>2</v>
      </c>
      <c r="M8" s="580">
        <v>2</v>
      </c>
      <c r="N8" s="579">
        <v>11</v>
      </c>
      <c r="O8" s="581">
        <v>18</v>
      </c>
      <c r="P8" s="582"/>
      <c r="Q8" s="519"/>
      <c r="R8" s="1" t="s">
        <v>224</v>
      </c>
    </row>
    <row r="9" spans="1:18" ht="25.5" x14ac:dyDescent="0.2">
      <c r="A9" s="546" t="s">
        <v>189</v>
      </c>
      <c r="B9" s="583">
        <f t="shared" ref="B9:O9" si="1">B5*B8</f>
        <v>2370599</v>
      </c>
      <c r="C9" s="584">
        <f t="shared" si="1"/>
        <v>595771</v>
      </c>
      <c r="D9" s="584">
        <f t="shared" si="1"/>
        <v>593274</v>
      </c>
      <c r="E9" s="584">
        <f t="shared" si="1"/>
        <v>587598</v>
      </c>
      <c r="F9" s="584">
        <f t="shared" si="1"/>
        <v>593956</v>
      </c>
      <c r="G9" s="585">
        <f t="shared" si="1"/>
        <v>574266</v>
      </c>
      <c r="H9" s="585">
        <f t="shared" si="1"/>
        <v>1095490</v>
      </c>
      <c r="I9" s="585">
        <f t="shared" si="1"/>
        <v>0</v>
      </c>
      <c r="J9" s="585">
        <f t="shared" si="1"/>
        <v>0</v>
      </c>
      <c r="K9" s="586">
        <f t="shared" si="1"/>
        <v>562672</v>
      </c>
      <c r="L9" s="586">
        <f t="shared" si="1"/>
        <v>228126</v>
      </c>
      <c r="M9" s="586">
        <f t="shared" si="1"/>
        <v>36556</v>
      </c>
      <c r="N9" s="585">
        <f t="shared" si="1"/>
        <v>233387</v>
      </c>
      <c r="O9" s="587">
        <f t="shared" si="1"/>
        <v>1312200</v>
      </c>
      <c r="P9" s="588"/>
      <c r="Q9" s="520"/>
      <c r="R9" s="1"/>
    </row>
    <row r="10" spans="1:18" x14ac:dyDescent="0.2">
      <c r="A10" s="545" t="s">
        <v>190</v>
      </c>
      <c r="B10" s="574">
        <f t="shared" ref="B10:O10" si="2">B9-B7</f>
        <v>1293054</v>
      </c>
      <c r="C10" s="574">
        <f t="shared" si="2"/>
        <v>595771</v>
      </c>
      <c r="D10" s="574">
        <f t="shared" si="2"/>
        <v>593274</v>
      </c>
      <c r="E10" s="574">
        <f t="shared" si="2"/>
        <v>587598</v>
      </c>
      <c r="F10" s="574">
        <f t="shared" si="2"/>
        <v>593956</v>
      </c>
      <c r="G10" s="575">
        <f t="shared" si="2"/>
        <v>313236</v>
      </c>
      <c r="H10" s="575">
        <f t="shared" si="2"/>
        <v>597540</v>
      </c>
      <c r="I10" s="575">
        <f t="shared" si="2"/>
        <v>0</v>
      </c>
      <c r="J10" s="575">
        <f t="shared" si="2"/>
        <v>0</v>
      </c>
      <c r="K10" s="576">
        <f t="shared" si="2"/>
        <v>306912</v>
      </c>
      <c r="L10" s="576">
        <f t="shared" si="2"/>
        <v>0</v>
      </c>
      <c r="M10" s="576">
        <f t="shared" si="2"/>
        <v>0</v>
      </c>
      <c r="N10" s="575">
        <f t="shared" si="2"/>
        <v>127302</v>
      </c>
      <c r="O10" s="589">
        <f t="shared" si="2"/>
        <v>510300</v>
      </c>
      <c r="P10" s="588"/>
      <c r="Q10" s="520"/>
      <c r="R10" s="1"/>
    </row>
    <row r="11" spans="1:18" x14ac:dyDescent="0.2">
      <c r="A11" s="545" t="s">
        <v>191</v>
      </c>
      <c r="B11" s="578">
        <v>750</v>
      </c>
      <c r="C11" s="578"/>
      <c r="D11" s="578"/>
      <c r="E11" s="578"/>
      <c r="F11" s="578"/>
      <c r="G11" s="579">
        <v>565</v>
      </c>
      <c r="H11" s="579"/>
      <c r="I11" s="579"/>
      <c r="J11" s="579"/>
      <c r="K11" s="580">
        <v>530</v>
      </c>
      <c r="L11" s="580">
        <v>520</v>
      </c>
      <c r="M11" s="580">
        <v>520</v>
      </c>
      <c r="N11" s="579"/>
      <c r="O11" s="578">
        <v>1050</v>
      </c>
      <c r="P11" s="590"/>
      <c r="Q11" s="517"/>
      <c r="R11" s="1"/>
    </row>
    <row r="12" spans="1:18" x14ac:dyDescent="0.2">
      <c r="A12" s="546" t="s">
        <v>192</v>
      </c>
      <c r="B12" s="578">
        <v>1050</v>
      </c>
      <c r="C12" s="578">
        <v>1050</v>
      </c>
      <c r="D12" s="578">
        <v>1050</v>
      </c>
      <c r="E12" s="578">
        <v>1050</v>
      </c>
      <c r="F12" s="578">
        <v>1050</v>
      </c>
      <c r="G12" s="579">
        <v>750</v>
      </c>
      <c r="H12" s="579">
        <v>750</v>
      </c>
      <c r="I12" s="579">
        <v>750</v>
      </c>
      <c r="J12" s="579">
        <v>750</v>
      </c>
      <c r="K12" s="580"/>
      <c r="L12" s="580"/>
      <c r="M12" s="580"/>
      <c r="N12" s="579">
        <v>750</v>
      </c>
      <c r="O12" s="578" t="s">
        <v>222</v>
      </c>
      <c r="P12" s="590"/>
      <c r="Q12" s="517"/>
      <c r="R12" s="1"/>
    </row>
    <row r="13" spans="1:18" x14ac:dyDescent="0.2">
      <c r="A13" s="547" t="s">
        <v>250</v>
      </c>
      <c r="B13" s="591"/>
      <c r="C13" s="583">
        <f>C9-C15</f>
        <v>176039</v>
      </c>
      <c r="D13" s="583">
        <f>D9-D15</f>
        <v>593274</v>
      </c>
      <c r="E13" s="583">
        <f>E9-E15</f>
        <v>577474</v>
      </c>
      <c r="F13" s="584">
        <f>F9-F15</f>
        <v>592</v>
      </c>
      <c r="G13" s="585">
        <f>G9-G15</f>
        <v>560</v>
      </c>
      <c r="H13" s="585">
        <f>H9-SUM(I15:J15)</f>
        <v>-289</v>
      </c>
      <c r="I13" s="585"/>
      <c r="J13" s="585"/>
      <c r="K13" s="586">
        <f t="shared" ref="K13:P13" si="3">K9-K15</f>
        <v>1867</v>
      </c>
      <c r="L13" s="586">
        <f t="shared" si="3"/>
        <v>168154</v>
      </c>
      <c r="M13" s="586">
        <f t="shared" si="3"/>
        <v>11089</v>
      </c>
      <c r="N13" s="585">
        <f t="shared" si="3"/>
        <v>246</v>
      </c>
      <c r="O13" s="584">
        <f t="shared" si="3"/>
        <v>3025</v>
      </c>
      <c r="P13" s="592">
        <f t="shared" si="3"/>
        <v>0</v>
      </c>
      <c r="Q13" s="516">
        <f>SUM(B13:O13)</f>
        <v>1532031</v>
      </c>
      <c r="R13" s="1"/>
    </row>
    <row r="14" spans="1:18" x14ac:dyDescent="0.2">
      <c r="A14" s="548"/>
      <c r="B14" s="605"/>
      <c r="C14" s="605"/>
      <c r="D14" s="605"/>
      <c r="E14" s="605"/>
      <c r="F14" s="605"/>
      <c r="G14" s="605"/>
      <c r="H14" s="605"/>
      <c r="I14" s="605"/>
      <c r="J14" s="605"/>
      <c r="K14" s="605"/>
      <c r="L14" s="605"/>
      <c r="M14" s="605"/>
      <c r="N14" s="605"/>
      <c r="O14" s="605"/>
      <c r="P14" s="605"/>
      <c r="Q14" s="606"/>
      <c r="R14" s="1"/>
    </row>
    <row r="15" spans="1:18" x14ac:dyDescent="0.2">
      <c r="A15" s="546" t="s">
        <v>193</v>
      </c>
      <c r="B15" s="521">
        <f t="shared" ref="B15" si="4">B18+B20+B22+B36</f>
        <v>0</v>
      </c>
      <c r="C15" s="521">
        <f>C18+C20+C22+C40</f>
        <v>419732</v>
      </c>
      <c r="D15" s="521">
        <f>D18+D20+D22+D40</f>
        <v>0</v>
      </c>
      <c r="E15" s="521">
        <f>E18+E20+E22+E40</f>
        <v>10124</v>
      </c>
      <c r="F15" s="521">
        <f>F18+F20+F22+F40</f>
        <v>593364</v>
      </c>
      <c r="G15" s="522">
        <f>G18+G20+G28+G40</f>
        <v>573706</v>
      </c>
      <c r="H15" s="522">
        <f t="shared" ref="H15:N15" si="5">H18+H20+H22+H40</f>
        <v>0</v>
      </c>
      <c r="I15" s="522">
        <f>I18+I20+I22+I40</f>
        <v>824557</v>
      </c>
      <c r="J15" s="522">
        <f>J18+J20+J22+J40</f>
        <v>271222</v>
      </c>
      <c r="K15" s="523">
        <f t="shared" si="5"/>
        <v>560805</v>
      </c>
      <c r="L15" s="523">
        <f>L18+L20+L22+L32</f>
        <v>59972</v>
      </c>
      <c r="M15" s="523">
        <f>M18+M20+M22+M40</f>
        <v>25467</v>
      </c>
      <c r="N15" s="522">
        <f t="shared" si="5"/>
        <v>233141</v>
      </c>
      <c r="O15" s="521">
        <f>O18+O20+O22+O40+O30</f>
        <v>1309175</v>
      </c>
      <c r="P15" s="593"/>
      <c r="Q15" s="516">
        <f t="shared" ref="Q15:Q42" si="6">SUM(B15:O15)</f>
        <v>4881265</v>
      </c>
      <c r="R15" s="1"/>
    </row>
    <row r="16" spans="1:18" ht="25.5" x14ac:dyDescent="0.2">
      <c r="A16" s="546" t="s">
        <v>194</v>
      </c>
      <c r="B16" s="524">
        <f t="shared" ref="B16:O16" si="7">0.3*B15</f>
        <v>0</v>
      </c>
      <c r="C16" s="524">
        <f t="shared" si="7"/>
        <v>125919.59999999999</v>
      </c>
      <c r="D16" s="524">
        <f t="shared" si="7"/>
        <v>0</v>
      </c>
      <c r="E16" s="524">
        <f t="shared" si="7"/>
        <v>3037.2</v>
      </c>
      <c r="F16" s="524">
        <f t="shared" si="7"/>
        <v>178009.19999999998</v>
      </c>
      <c r="G16" s="525">
        <f t="shared" si="7"/>
        <v>172111.8</v>
      </c>
      <c r="H16" s="525">
        <f t="shared" si="7"/>
        <v>0</v>
      </c>
      <c r="I16" s="525">
        <f t="shared" si="7"/>
        <v>247367.09999999998</v>
      </c>
      <c r="J16" s="525">
        <f t="shared" si="7"/>
        <v>81366.599999999991</v>
      </c>
      <c r="K16" s="526">
        <f t="shared" si="7"/>
        <v>168241.5</v>
      </c>
      <c r="L16" s="526">
        <f t="shared" si="7"/>
        <v>17991.599999999999</v>
      </c>
      <c r="M16" s="526">
        <f t="shared" si="7"/>
        <v>7640.0999999999995</v>
      </c>
      <c r="N16" s="525">
        <f t="shared" si="7"/>
        <v>69942.3</v>
      </c>
      <c r="O16" s="524">
        <f t="shared" si="7"/>
        <v>392752.5</v>
      </c>
      <c r="P16" s="594"/>
      <c r="Q16" s="516">
        <f t="shared" si="6"/>
        <v>1464379.4999999998</v>
      </c>
      <c r="R16" s="1"/>
    </row>
    <row r="17" spans="1:18" x14ac:dyDescent="0.2">
      <c r="A17" s="546" t="s">
        <v>174</v>
      </c>
      <c r="B17" s="524">
        <f t="shared" ref="B17:O17" si="8">0.7*B15</f>
        <v>0</v>
      </c>
      <c r="C17" s="524">
        <f t="shared" si="8"/>
        <v>293812.39999999997</v>
      </c>
      <c r="D17" s="524">
        <f t="shared" si="8"/>
        <v>0</v>
      </c>
      <c r="E17" s="524">
        <f t="shared" si="8"/>
        <v>7086.7999999999993</v>
      </c>
      <c r="F17" s="524">
        <f t="shared" si="8"/>
        <v>415354.8</v>
      </c>
      <c r="G17" s="525">
        <f t="shared" si="8"/>
        <v>401594.19999999995</v>
      </c>
      <c r="H17" s="525">
        <f t="shared" si="8"/>
        <v>0</v>
      </c>
      <c r="I17" s="525">
        <f t="shared" si="8"/>
        <v>577189.89999999991</v>
      </c>
      <c r="J17" s="525">
        <f t="shared" si="8"/>
        <v>189855.4</v>
      </c>
      <c r="K17" s="526">
        <f t="shared" si="8"/>
        <v>392563.5</v>
      </c>
      <c r="L17" s="526">
        <f t="shared" si="8"/>
        <v>41980.399999999994</v>
      </c>
      <c r="M17" s="526">
        <f t="shared" si="8"/>
        <v>17826.899999999998</v>
      </c>
      <c r="N17" s="525">
        <f t="shared" si="8"/>
        <v>163198.69999999998</v>
      </c>
      <c r="O17" s="524">
        <f t="shared" si="8"/>
        <v>916422.5</v>
      </c>
      <c r="P17" s="594"/>
      <c r="Q17" s="516">
        <f t="shared" si="6"/>
        <v>3416885.5</v>
      </c>
      <c r="R17" s="1"/>
    </row>
    <row r="18" spans="1:18" x14ac:dyDescent="0.2">
      <c r="A18" s="549" t="s">
        <v>126</v>
      </c>
      <c r="B18" s="524"/>
      <c r="C18" s="415">
        <v>112607</v>
      </c>
      <c r="D18" s="524"/>
      <c r="E18" s="524"/>
      <c r="F18" s="415">
        <v>228026</v>
      </c>
      <c r="G18" s="416">
        <v>211835</v>
      </c>
      <c r="H18" s="525"/>
      <c r="I18" s="416">
        <v>223320</v>
      </c>
      <c r="J18" s="525"/>
      <c r="K18" s="417">
        <v>171000</v>
      </c>
      <c r="L18" s="526"/>
      <c r="M18" s="526"/>
      <c r="N18" s="416">
        <v>112764</v>
      </c>
      <c r="O18" s="415">
        <v>426379</v>
      </c>
      <c r="P18" s="527"/>
      <c r="Q18" s="516">
        <f t="shared" si="6"/>
        <v>1485931</v>
      </c>
      <c r="R18" s="1"/>
    </row>
    <row r="19" spans="1:18" x14ac:dyDescent="0.2">
      <c r="A19" s="549" t="s">
        <v>195</v>
      </c>
      <c r="B19" s="524">
        <f t="shared" ref="B19:O19" si="9">0.7*B18</f>
        <v>0</v>
      </c>
      <c r="C19" s="524">
        <f t="shared" si="9"/>
        <v>78824.899999999994</v>
      </c>
      <c r="D19" s="524">
        <f t="shared" si="9"/>
        <v>0</v>
      </c>
      <c r="E19" s="524">
        <f t="shared" si="9"/>
        <v>0</v>
      </c>
      <c r="F19" s="524">
        <f t="shared" si="9"/>
        <v>159618.19999999998</v>
      </c>
      <c r="G19" s="525">
        <f t="shared" si="9"/>
        <v>148284.5</v>
      </c>
      <c r="H19" s="525">
        <f t="shared" si="9"/>
        <v>0</v>
      </c>
      <c r="I19" s="525">
        <f t="shared" si="9"/>
        <v>156324</v>
      </c>
      <c r="J19" s="525">
        <f t="shared" si="9"/>
        <v>0</v>
      </c>
      <c r="K19" s="526">
        <f t="shared" si="9"/>
        <v>119699.99999999999</v>
      </c>
      <c r="L19" s="526">
        <f t="shared" si="9"/>
        <v>0</v>
      </c>
      <c r="M19" s="526">
        <f t="shared" si="9"/>
        <v>0</v>
      </c>
      <c r="N19" s="525">
        <f t="shared" si="9"/>
        <v>78934.799999999988</v>
      </c>
      <c r="O19" s="524">
        <f t="shared" si="9"/>
        <v>298465.3</v>
      </c>
      <c r="P19" s="527"/>
      <c r="Q19" s="516">
        <f t="shared" si="6"/>
        <v>1040151.7</v>
      </c>
      <c r="R19" s="1"/>
    </row>
    <row r="20" spans="1:18" x14ac:dyDescent="0.2">
      <c r="A20" s="550" t="s">
        <v>196</v>
      </c>
      <c r="B20" s="524"/>
      <c r="C20" s="524">
        <v>38474</v>
      </c>
      <c r="D20" s="524"/>
      <c r="E20" s="524">
        <v>10124</v>
      </c>
      <c r="F20" s="524">
        <v>47116</v>
      </c>
      <c r="G20" s="525">
        <v>13240</v>
      </c>
      <c r="H20" s="525"/>
      <c r="I20" s="525">
        <v>17178</v>
      </c>
      <c r="J20" s="525">
        <v>38746</v>
      </c>
      <c r="K20" s="526">
        <v>47061</v>
      </c>
      <c r="L20" s="526"/>
      <c r="M20" s="526">
        <v>25467</v>
      </c>
      <c r="N20" s="525">
        <v>17972</v>
      </c>
      <c r="O20" s="524"/>
      <c r="P20" s="527"/>
      <c r="Q20" s="516">
        <f t="shared" si="6"/>
        <v>255378</v>
      </c>
      <c r="R20" s="1"/>
    </row>
    <row r="21" spans="1:18" x14ac:dyDescent="0.2">
      <c r="A21" s="550" t="s">
        <v>197</v>
      </c>
      <c r="B21" s="524">
        <f t="shared" ref="B21:O21" si="10">0.7*B20</f>
        <v>0</v>
      </c>
      <c r="C21" s="524">
        <f t="shared" si="10"/>
        <v>26931.8</v>
      </c>
      <c r="D21" s="524">
        <f t="shared" si="10"/>
        <v>0</v>
      </c>
      <c r="E21" s="524">
        <f t="shared" si="10"/>
        <v>7086.7999999999993</v>
      </c>
      <c r="F21" s="524">
        <f t="shared" si="10"/>
        <v>32981.199999999997</v>
      </c>
      <c r="G21" s="525">
        <f t="shared" si="10"/>
        <v>9268</v>
      </c>
      <c r="H21" s="525">
        <f t="shared" si="10"/>
        <v>0</v>
      </c>
      <c r="I21" s="525">
        <f t="shared" si="10"/>
        <v>12024.599999999999</v>
      </c>
      <c r="J21" s="525">
        <f t="shared" si="10"/>
        <v>27122.199999999997</v>
      </c>
      <c r="K21" s="526">
        <f t="shared" si="10"/>
        <v>32942.699999999997</v>
      </c>
      <c r="L21" s="526">
        <f t="shared" si="10"/>
        <v>0</v>
      </c>
      <c r="M21" s="526">
        <f t="shared" si="10"/>
        <v>17826.899999999998</v>
      </c>
      <c r="N21" s="525">
        <f t="shared" si="10"/>
        <v>12580.4</v>
      </c>
      <c r="O21" s="524">
        <f t="shared" si="10"/>
        <v>0</v>
      </c>
      <c r="P21" s="527"/>
      <c r="Q21" s="516">
        <f t="shared" si="6"/>
        <v>178764.59999999998</v>
      </c>
      <c r="R21" s="1"/>
    </row>
    <row r="22" spans="1:18" x14ac:dyDescent="0.2">
      <c r="A22" s="551" t="s">
        <v>229</v>
      </c>
      <c r="B22" s="524"/>
      <c r="C22" s="415">
        <v>165465</v>
      </c>
      <c r="D22" s="415"/>
      <c r="E22" s="415"/>
      <c r="F22" s="415">
        <v>212936</v>
      </c>
      <c r="G22" s="528"/>
      <c r="H22" s="416"/>
      <c r="I22" s="416">
        <v>532534</v>
      </c>
      <c r="J22" s="416">
        <v>232476</v>
      </c>
      <c r="K22" s="417">
        <v>188100</v>
      </c>
      <c r="L22" s="417"/>
      <c r="M22" s="417"/>
      <c r="N22" s="416">
        <v>102405</v>
      </c>
      <c r="O22" s="415">
        <v>618440</v>
      </c>
      <c r="P22" s="527"/>
      <c r="Q22" s="516">
        <f t="shared" si="6"/>
        <v>2052356</v>
      </c>
      <c r="R22" s="529">
        <f>Q22/838</f>
        <v>2449.112171837709</v>
      </c>
    </row>
    <row r="23" spans="1:18" x14ac:dyDescent="0.2">
      <c r="A23" s="551" t="s">
        <v>198</v>
      </c>
      <c r="B23" s="524">
        <f t="shared" ref="B23:O23" si="11">0.7*B22</f>
        <v>0</v>
      </c>
      <c r="C23" s="524">
        <f t="shared" si="11"/>
        <v>115825.49999999999</v>
      </c>
      <c r="D23" s="524">
        <f t="shared" si="11"/>
        <v>0</v>
      </c>
      <c r="E23" s="524">
        <f t="shared" si="11"/>
        <v>0</v>
      </c>
      <c r="F23" s="524">
        <f t="shared" si="11"/>
        <v>149055.19999999998</v>
      </c>
      <c r="G23" s="530"/>
      <c r="H23" s="525">
        <f t="shared" si="11"/>
        <v>0</v>
      </c>
      <c r="I23" s="525">
        <f t="shared" si="11"/>
        <v>372773.8</v>
      </c>
      <c r="J23" s="525">
        <f t="shared" si="11"/>
        <v>162733.19999999998</v>
      </c>
      <c r="K23" s="526">
        <f t="shared" si="11"/>
        <v>131670</v>
      </c>
      <c r="L23" s="526">
        <f t="shared" si="11"/>
        <v>0</v>
      </c>
      <c r="M23" s="526">
        <f t="shared" si="11"/>
        <v>0</v>
      </c>
      <c r="N23" s="525">
        <f t="shared" si="11"/>
        <v>71683.5</v>
      </c>
      <c r="O23" s="524">
        <f t="shared" si="11"/>
        <v>432908</v>
      </c>
      <c r="P23" s="527"/>
      <c r="Q23" s="516">
        <f t="shared" si="6"/>
        <v>1436649.2</v>
      </c>
      <c r="R23" s="529">
        <f>Q23/838</f>
        <v>1714.3785202863962</v>
      </c>
    </row>
    <row r="24" spans="1:18" ht="25.5" x14ac:dyDescent="0.2">
      <c r="A24" s="551" t="s">
        <v>230</v>
      </c>
      <c r="B24" s="531">
        <f t="shared" ref="B24:O24" si="12">0.9*B22</f>
        <v>0</v>
      </c>
      <c r="C24" s="531">
        <f t="shared" si="12"/>
        <v>148918.5</v>
      </c>
      <c r="D24" s="531">
        <f t="shared" si="12"/>
        <v>0</v>
      </c>
      <c r="E24" s="531">
        <f t="shared" si="12"/>
        <v>0</v>
      </c>
      <c r="F24" s="531">
        <f t="shared" si="12"/>
        <v>191642.4</v>
      </c>
      <c r="G24" s="530"/>
      <c r="H24" s="530">
        <f t="shared" si="12"/>
        <v>0</v>
      </c>
      <c r="I24" s="530">
        <f t="shared" si="12"/>
        <v>479280.60000000003</v>
      </c>
      <c r="J24" s="530">
        <f t="shared" si="12"/>
        <v>209228.4</v>
      </c>
      <c r="K24" s="532">
        <f t="shared" si="12"/>
        <v>169290</v>
      </c>
      <c r="L24" s="532">
        <f t="shared" si="12"/>
        <v>0</v>
      </c>
      <c r="M24" s="532">
        <f t="shared" si="12"/>
        <v>0</v>
      </c>
      <c r="N24" s="530">
        <f t="shared" si="12"/>
        <v>92164.5</v>
      </c>
      <c r="O24" s="531">
        <f t="shared" si="12"/>
        <v>556596</v>
      </c>
      <c r="P24" s="594"/>
      <c r="Q24" s="516">
        <f t="shared" si="6"/>
        <v>1847120.4</v>
      </c>
      <c r="R24" s="1"/>
    </row>
    <row r="25" spans="1:18" ht="25.5" x14ac:dyDescent="0.2">
      <c r="A25" s="551" t="s">
        <v>231</v>
      </c>
      <c r="B25" s="531">
        <f>0.7*B24</f>
        <v>0</v>
      </c>
      <c r="C25" s="531">
        <f t="shared" ref="C25:O25" si="13">0.7*C24</f>
        <v>104242.95</v>
      </c>
      <c r="D25" s="531">
        <f t="shared" si="13"/>
        <v>0</v>
      </c>
      <c r="E25" s="531">
        <f t="shared" si="13"/>
        <v>0</v>
      </c>
      <c r="F25" s="531">
        <f t="shared" si="13"/>
        <v>134149.68</v>
      </c>
      <c r="G25" s="530"/>
      <c r="H25" s="530">
        <f t="shared" si="13"/>
        <v>0</v>
      </c>
      <c r="I25" s="530">
        <f t="shared" si="13"/>
        <v>335496.42</v>
      </c>
      <c r="J25" s="530">
        <f t="shared" si="13"/>
        <v>146459.87999999998</v>
      </c>
      <c r="K25" s="532">
        <f t="shared" si="13"/>
        <v>118502.99999999999</v>
      </c>
      <c r="L25" s="532">
        <f t="shared" si="13"/>
        <v>0</v>
      </c>
      <c r="M25" s="532">
        <f t="shared" si="13"/>
        <v>0</v>
      </c>
      <c r="N25" s="530">
        <f t="shared" si="13"/>
        <v>64515.149999999994</v>
      </c>
      <c r="O25" s="531">
        <f t="shared" si="13"/>
        <v>389617.19999999995</v>
      </c>
      <c r="P25" s="594"/>
      <c r="Q25" s="516">
        <f t="shared" si="6"/>
        <v>1292984.28</v>
      </c>
      <c r="R25" s="1"/>
    </row>
    <row r="26" spans="1:18" ht="25.5" x14ac:dyDescent="0.2">
      <c r="A26" s="551" t="s">
        <v>232</v>
      </c>
      <c r="B26" s="531">
        <f t="shared" ref="B26:O26" si="14">0.1*B22</f>
        <v>0</v>
      </c>
      <c r="C26" s="531">
        <f t="shared" si="14"/>
        <v>16546.5</v>
      </c>
      <c r="D26" s="531">
        <f t="shared" si="14"/>
        <v>0</v>
      </c>
      <c r="E26" s="531">
        <f t="shared" si="14"/>
        <v>0</v>
      </c>
      <c r="F26" s="531">
        <f t="shared" si="14"/>
        <v>21293.600000000002</v>
      </c>
      <c r="G26" s="530"/>
      <c r="H26" s="530">
        <f t="shared" si="14"/>
        <v>0</v>
      </c>
      <c r="I26" s="530">
        <f t="shared" si="14"/>
        <v>53253.4</v>
      </c>
      <c r="J26" s="530">
        <f t="shared" si="14"/>
        <v>23247.600000000002</v>
      </c>
      <c r="K26" s="532">
        <f t="shared" si="14"/>
        <v>18810</v>
      </c>
      <c r="L26" s="532">
        <f t="shared" si="14"/>
        <v>0</v>
      </c>
      <c r="M26" s="532">
        <f t="shared" si="14"/>
        <v>0</v>
      </c>
      <c r="N26" s="530">
        <f t="shared" si="14"/>
        <v>10240.5</v>
      </c>
      <c r="O26" s="531">
        <f t="shared" si="14"/>
        <v>61844</v>
      </c>
      <c r="P26" s="594"/>
      <c r="Q26" s="516">
        <f t="shared" si="6"/>
        <v>205235.6</v>
      </c>
      <c r="R26" s="1"/>
    </row>
    <row r="27" spans="1:18" ht="25.5" x14ac:dyDescent="0.2">
      <c r="A27" s="551" t="s">
        <v>233</v>
      </c>
      <c r="B27" s="531">
        <f>B26*0.7</f>
        <v>0</v>
      </c>
      <c r="C27" s="531">
        <f t="shared" ref="C27:O27" si="15">C26*0.7</f>
        <v>11582.55</v>
      </c>
      <c r="D27" s="531">
        <f t="shared" si="15"/>
        <v>0</v>
      </c>
      <c r="E27" s="531">
        <f t="shared" si="15"/>
        <v>0</v>
      </c>
      <c r="F27" s="531">
        <f t="shared" si="15"/>
        <v>14905.52</v>
      </c>
      <c r="G27" s="530"/>
      <c r="H27" s="530">
        <f t="shared" si="15"/>
        <v>0</v>
      </c>
      <c r="I27" s="530">
        <f t="shared" si="15"/>
        <v>37277.379999999997</v>
      </c>
      <c r="J27" s="530">
        <f t="shared" si="15"/>
        <v>16273.32</v>
      </c>
      <c r="K27" s="532">
        <f t="shared" si="15"/>
        <v>13167</v>
      </c>
      <c r="L27" s="532">
        <f t="shared" si="15"/>
        <v>0</v>
      </c>
      <c r="M27" s="532">
        <f t="shared" si="15"/>
        <v>0</v>
      </c>
      <c r="N27" s="530">
        <f t="shared" si="15"/>
        <v>7168.3499999999995</v>
      </c>
      <c r="O27" s="531">
        <f t="shared" si="15"/>
        <v>43290.799999999996</v>
      </c>
      <c r="P27" s="594"/>
      <c r="Q27" s="516">
        <f t="shared" si="6"/>
        <v>143664.91999999998</v>
      </c>
      <c r="R27" s="1"/>
    </row>
    <row r="28" spans="1:18" x14ac:dyDescent="0.2">
      <c r="A28" s="552" t="s">
        <v>267</v>
      </c>
      <c r="B28" s="531"/>
      <c r="C28" s="531"/>
      <c r="D28" s="531"/>
      <c r="E28" s="531"/>
      <c r="F28" s="531"/>
      <c r="G28" s="416">
        <v>196296</v>
      </c>
      <c r="H28" s="530"/>
      <c r="I28" s="530"/>
      <c r="J28" s="530"/>
      <c r="K28" s="532"/>
      <c r="L28" s="532"/>
      <c r="M28" s="532"/>
      <c r="N28" s="530"/>
      <c r="O28" s="531"/>
      <c r="P28" s="594"/>
      <c r="Q28" s="516"/>
      <c r="R28" s="1"/>
    </row>
    <row r="29" spans="1:18" x14ac:dyDescent="0.2">
      <c r="A29" s="552" t="s">
        <v>268</v>
      </c>
      <c r="B29" s="531"/>
      <c r="C29" s="531"/>
      <c r="D29" s="531"/>
      <c r="E29" s="531"/>
      <c r="F29" s="531"/>
      <c r="G29" s="525">
        <f>0.7*G28</f>
        <v>137407.19999999998</v>
      </c>
      <c r="H29" s="530"/>
      <c r="I29" s="530"/>
      <c r="J29" s="530"/>
      <c r="K29" s="532"/>
      <c r="L29" s="532"/>
      <c r="M29" s="532"/>
      <c r="N29" s="530"/>
      <c r="O29" s="531"/>
      <c r="P29" s="594"/>
      <c r="Q29" s="516"/>
      <c r="R29" s="1"/>
    </row>
    <row r="30" spans="1:18" x14ac:dyDescent="0.2">
      <c r="A30" s="553" t="s">
        <v>199</v>
      </c>
      <c r="B30" s="531"/>
      <c r="C30" s="531"/>
      <c r="D30" s="531"/>
      <c r="E30" s="531"/>
      <c r="F30" s="531"/>
      <c r="G30" s="530"/>
      <c r="H30" s="530"/>
      <c r="I30" s="530"/>
      <c r="J30" s="530"/>
      <c r="K30" s="532"/>
      <c r="L30" s="532"/>
      <c r="M30" s="532"/>
      <c r="N30" s="530"/>
      <c r="O30" s="533">
        <v>188267</v>
      </c>
      <c r="P30" s="595"/>
      <c r="Q30" s="516">
        <f t="shared" si="6"/>
        <v>188267</v>
      </c>
      <c r="R30" s="1"/>
    </row>
    <row r="31" spans="1:18" x14ac:dyDescent="0.2">
      <c r="A31" s="553" t="s">
        <v>234</v>
      </c>
      <c r="B31" s="531"/>
      <c r="C31" s="531"/>
      <c r="D31" s="531"/>
      <c r="E31" s="531"/>
      <c r="F31" s="531"/>
      <c r="G31" s="530"/>
      <c r="H31" s="530"/>
      <c r="I31" s="530"/>
      <c r="J31" s="530"/>
      <c r="K31" s="532"/>
      <c r="L31" s="532"/>
      <c r="M31" s="532"/>
      <c r="N31" s="530"/>
      <c r="O31" s="531">
        <f>O30*0.7</f>
        <v>131786.9</v>
      </c>
      <c r="P31" s="594"/>
      <c r="Q31" s="516">
        <f t="shared" si="6"/>
        <v>131786.9</v>
      </c>
      <c r="R31" s="1"/>
    </row>
    <row r="32" spans="1:18" x14ac:dyDescent="0.2">
      <c r="A32" s="553" t="s">
        <v>200</v>
      </c>
      <c r="B32" s="531"/>
      <c r="C32" s="531"/>
      <c r="D32" s="531"/>
      <c r="E32" s="531"/>
      <c r="F32" s="531"/>
      <c r="G32" s="530"/>
      <c r="H32" s="530"/>
      <c r="I32" s="530"/>
      <c r="J32" s="530"/>
      <c r="K32" s="532"/>
      <c r="L32" s="417">
        <v>59972</v>
      </c>
      <c r="M32" s="532"/>
      <c r="N32" s="530"/>
      <c r="O32" s="531"/>
      <c r="P32" s="594"/>
      <c r="Q32" s="516">
        <f t="shared" si="6"/>
        <v>59972</v>
      </c>
      <c r="R32" s="1"/>
    </row>
    <row r="33" spans="1:24" x14ac:dyDescent="0.2">
      <c r="A33" s="553" t="s">
        <v>235</v>
      </c>
      <c r="B33" s="531"/>
      <c r="C33" s="531"/>
      <c r="D33" s="531"/>
      <c r="E33" s="531"/>
      <c r="F33" s="531"/>
      <c r="G33" s="530"/>
      <c r="H33" s="530"/>
      <c r="I33" s="530"/>
      <c r="J33" s="530"/>
      <c r="K33" s="532"/>
      <c r="L33" s="532">
        <f>L32*0.7</f>
        <v>41980.399999999994</v>
      </c>
      <c r="M33" s="532"/>
      <c r="N33" s="530"/>
      <c r="O33" s="531"/>
      <c r="P33" s="594"/>
      <c r="Q33" s="516">
        <f t="shared" si="6"/>
        <v>41980.399999999994</v>
      </c>
      <c r="R33" s="1"/>
    </row>
    <row r="34" spans="1:24" x14ac:dyDescent="0.2">
      <c r="A34" s="553" t="s">
        <v>269</v>
      </c>
      <c r="B34" s="531"/>
      <c r="C34" s="531"/>
      <c r="D34" s="531"/>
      <c r="E34" s="531"/>
      <c r="F34" s="531"/>
      <c r="G34" s="530"/>
      <c r="H34" s="530"/>
      <c r="I34" s="530"/>
      <c r="J34" s="530"/>
      <c r="K34" s="532"/>
      <c r="L34" s="532"/>
      <c r="M34" s="532"/>
      <c r="N34" s="530"/>
      <c r="O34" s="531"/>
      <c r="P34" s="594"/>
      <c r="Q34" s="516"/>
      <c r="R34" s="1"/>
    </row>
    <row r="35" spans="1:24" x14ac:dyDescent="0.2">
      <c r="A35" s="554" t="s">
        <v>270</v>
      </c>
      <c r="B35" s="531"/>
      <c r="C35" s="533">
        <v>57804</v>
      </c>
      <c r="D35" s="533">
        <v>64035</v>
      </c>
      <c r="E35" s="533">
        <v>48266</v>
      </c>
      <c r="F35" s="533">
        <v>58343</v>
      </c>
      <c r="G35" s="528"/>
      <c r="H35" s="528"/>
      <c r="I35" s="528">
        <v>12423</v>
      </c>
      <c r="J35" s="528"/>
      <c r="K35" s="534"/>
      <c r="L35" s="534">
        <v>70120</v>
      </c>
      <c r="M35" s="534">
        <v>1369</v>
      </c>
      <c r="N35" s="528"/>
      <c r="O35" s="533"/>
      <c r="P35" s="595">
        <v>472007</v>
      </c>
      <c r="Q35" s="516"/>
      <c r="R35" s="1"/>
    </row>
    <row r="36" spans="1:24" ht="25.5" x14ac:dyDescent="0.2">
      <c r="A36" s="555" t="s">
        <v>201</v>
      </c>
      <c r="B36" s="531">
        <f t="shared" ref="B36:O36" si="16">B23/2000</f>
        <v>0</v>
      </c>
      <c r="C36" s="531">
        <f t="shared" si="16"/>
        <v>57.912749999999996</v>
      </c>
      <c r="D36" s="531">
        <f t="shared" si="16"/>
        <v>0</v>
      </c>
      <c r="E36" s="531">
        <f t="shared" si="16"/>
        <v>0</v>
      </c>
      <c r="F36" s="531">
        <f t="shared" si="16"/>
        <v>74.527599999999993</v>
      </c>
      <c r="G36" s="530">
        <f>G29/2000</f>
        <v>68.703599999999994</v>
      </c>
      <c r="H36" s="530">
        <f t="shared" si="16"/>
        <v>0</v>
      </c>
      <c r="I36" s="530">
        <f t="shared" si="16"/>
        <v>186.3869</v>
      </c>
      <c r="J36" s="530">
        <f t="shared" si="16"/>
        <v>81.366599999999991</v>
      </c>
      <c r="K36" s="532">
        <f t="shared" si="16"/>
        <v>65.834999999999994</v>
      </c>
      <c r="L36" s="532">
        <f t="shared" si="16"/>
        <v>0</v>
      </c>
      <c r="M36" s="532">
        <f t="shared" si="16"/>
        <v>0</v>
      </c>
      <c r="N36" s="530">
        <f t="shared" si="16"/>
        <v>35.841749999999998</v>
      </c>
      <c r="O36" s="531">
        <f t="shared" si="16"/>
        <v>216.45400000000001</v>
      </c>
      <c r="P36" s="594"/>
      <c r="Q36" s="516">
        <f t="shared" si="6"/>
        <v>787.02819999999997</v>
      </c>
      <c r="R36" s="1"/>
    </row>
    <row r="37" spans="1:24" ht="25.5" x14ac:dyDescent="0.2">
      <c r="A37" s="555" t="s">
        <v>202</v>
      </c>
      <c r="B37" s="531">
        <f t="shared" ref="B37:O37" si="17">B19/150</f>
        <v>0</v>
      </c>
      <c r="C37" s="531">
        <f t="shared" si="17"/>
        <v>525.49933333333331</v>
      </c>
      <c r="D37" s="531">
        <f t="shared" si="17"/>
        <v>0</v>
      </c>
      <c r="E37" s="531">
        <f t="shared" si="17"/>
        <v>0</v>
      </c>
      <c r="F37" s="531">
        <f t="shared" si="17"/>
        <v>1064.1213333333333</v>
      </c>
      <c r="G37" s="530">
        <f t="shared" si="17"/>
        <v>988.56333333333339</v>
      </c>
      <c r="H37" s="530">
        <f t="shared" si="17"/>
        <v>0</v>
      </c>
      <c r="I37" s="530">
        <f t="shared" si="17"/>
        <v>1042.1600000000001</v>
      </c>
      <c r="J37" s="530">
        <f t="shared" si="17"/>
        <v>0</v>
      </c>
      <c r="K37" s="532">
        <f t="shared" si="17"/>
        <v>797.99999999999989</v>
      </c>
      <c r="L37" s="532">
        <f t="shared" si="17"/>
        <v>0</v>
      </c>
      <c r="M37" s="532">
        <f t="shared" si="17"/>
        <v>0</v>
      </c>
      <c r="N37" s="530">
        <f t="shared" si="17"/>
        <v>526.23199999999997</v>
      </c>
      <c r="O37" s="531">
        <f t="shared" si="17"/>
        <v>1989.7686666666666</v>
      </c>
      <c r="P37" s="594"/>
      <c r="Q37" s="516">
        <f t="shared" si="6"/>
        <v>6934.3446666666669</v>
      </c>
      <c r="R37" s="1"/>
    </row>
    <row r="38" spans="1:24" ht="25.5" x14ac:dyDescent="0.2">
      <c r="A38" s="556" t="s">
        <v>203</v>
      </c>
      <c r="B38" s="535">
        <f t="shared" ref="B38:N38" si="18">B36+B37</f>
        <v>0</v>
      </c>
      <c r="C38" s="535">
        <f t="shared" si="18"/>
        <v>583.41208333333327</v>
      </c>
      <c r="D38" s="535">
        <f t="shared" si="18"/>
        <v>0</v>
      </c>
      <c r="E38" s="535">
        <f t="shared" si="18"/>
        <v>0</v>
      </c>
      <c r="F38" s="531">
        <f t="shared" si="18"/>
        <v>1138.6489333333332</v>
      </c>
      <c r="G38" s="530">
        <f t="shared" si="18"/>
        <v>1057.2669333333333</v>
      </c>
      <c r="H38" s="530">
        <f t="shared" si="18"/>
        <v>0</v>
      </c>
      <c r="I38" s="530">
        <f t="shared" si="18"/>
        <v>1228.5469000000001</v>
      </c>
      <c r="J38" s="530">
        <f t="shared" si="18"/>
        <v>81.366599999999991</v>
      </c>
      <c r="K38" s="532">
        <f t="shared" si="18"/>
        <v>863.83499999999992</v>
      </c>
      <c r="L38" s="532">
        <f t="shared" si="18"/>
        <v>0</v>
      </c>
      <c r="M38" s="532">
        <f t="shared" si="18"/>
        <v>0</v>
      </c>
      <c r="N38" s="530">
        <f t="shared" si="18"/>
        <v>562.07375000000002</v>
      </c>
      <c r="O38" s="535"/>
      <c r="P38" s="596"/>
      <c r="Q38" s="516">
        <f t="shared" si="6"/>
        <v>5515.1502</v>
      </c>
      <c r="R38" s="1"/>
    </row>
    <row r="39" spans="1:24" ht="25.5" x14ac:dyDescent="0.2">
      <c r="A39" s="546" t="s">
        <v>204</v>
      </c>
      <c r="B39" s="531"/>
      <c r="C39" s="531"/>
      <c r="D39" s="531"/>
      <c r="E39" s="531"/>
      <c r="F39" s="531"/>
      <c r="G39" s="530"/>
      <c r="H39" s="530"/>
      <c r="I39" s="530"/>
      <c r="J39" s="530"/>
      <c r="K39" s="532"/>
      <c r="L39" s="532"/>
      <c r="M39" s="532"/>
      <c r="N39" s="530"/>
      <c r="O39" s="531"/>
      <c r="P39" s="594"/>
      <c r="Q39" s="516">
        <f t="shared" si="6"/>
        <v>0</v>
      </c>
      <c r="R39" s="1"/>
    </row>
    <row r="40" spans="1:24" ht="25.5" x14ac:dyDescent="0.2">
      <c r="A40" s="546" t="s">
        <v>205</v>
      </c>
      <c r="B40" s="533"/>
      <c r="C40" s="533">
        <v>103186</v>
      </c>
      <c r="D40" s="533"/>
      <c r="E40" s="533"/>
      <c r="F40" s="533">
        <v>105286</v>
      </c>
      <c r="G40" s="525">
        <v>152335</v>
      </c>
      <c r="H40" s="528"/>
      <c r="I40" s="528">
        <v>51525</v>
      </c>
      <c r="J40" s="528"/>
      <c r="K40" s="526">
        <v>154644</v>
      </c>
      <c r="L40" s="534"/>
      <c r="M40" s="534"/>
      <c r="N40" s="528"/>
      <c r="O40" s="533">
        <v>76089</v>
      </c>
      <c r="P40" s="595"/>
      <c r="Q40" s="516">
        <f t="shared" si="6"/>
        <v>643065</v>
      </c>
      <c r="R40" s="1"/>
    </row>
    <row r="41" spans="1:24" ht="25.5" x14ac:dyDescent="0.2">
      <c r="A41" s="546" t="s">
        <v>206</v>
      </c>
      <c r="B41" s="531"/>
      <c r="C41" s="531">
        <f t="shared" ref="C41:F41" si="19">0.7*C40</f>
        <v>72230.2</v>
      </c>
      <c r="D41" s="531">
        <f t="shared" si="19"/>
        <v>0</v>
      </c>
      <c r="E41" s="531">
        <f t="shared" si="19"/>
        <v>0</v>
      </c>
      <c r="F41" s="531">
        <f t="shared" si="19"/>
        <v>73700.2</v>
      </c>
      <c r="G41" s="530">
        <f>0.7*G40</f>
        <v>106634.5</v>
      </c>
      <c r="H41" s="530">
        <f t="shared" ref="H41:O41" si="20">0.7*H40</f>
        <v>0</v>
      </c>
      <c r="I41" s="530">
        <f t="shared" si="20"/>
        <v>36067.5</v>
      </c>
      <c r="J41" s="530">
        <f t="shared" si="20"/>
        <v>0</v>
      </c>
      <c r="K41" s="532">
        <f t="shared" si="20"/>
        <v>108250.79999999999</v>
      </c>
      <c r="L41" s="532">
        <f t="shared" si="20"/>
        <v>0</v>
      </c>
      <c r="M41" s="532">
        <f t="shared" si="20"/>
        <v>0</v>
      </c>
      <c r="N41" s="530">
        <f t="shared" si="20"/>
        <v>0</v>
      </c>
      <c r="O41" s="531">
        <f t="shared" si="20"/>
        <v>53262.299999999996</v>
      </c>
      <c r="P41" s="594"/>
      <c r="Q41" s="516">
        <f t="shared" si="6"/>
        <v>450145.5</v>
      </c>
      <c r="R41" s="536" t="s">
        <v>225</v>
      </c>
    </row>
    <row r="42" spans="1:24" ht="25.5" x14ac:dyDescent="0.2">
      <c r="A42" s="557" t="s">
        <v>207</v>
      </c>
      <c r="B42" s="531">
        <f t="shared" ref="B42:O42" si="21">B40/350</f>
        <v>0</v>
      </c>
      <c r="C42" s="531">
        <f t="shared" si="21"/>
        <v>294.81714285714287</v>
      </c>
      <c r="D42" s="531">
        <f t="shared" si="21"/>
        <v>0</v>
      </c>
      <c r="E42" s="531">
        <f t="shared" si="21"/>
        <v>0</v>
      </c>
      <c r="F42" s="531">
        <f t="shared" si="21"/>
        <v>300.81714285714287</v>
      </c>
      <c r="G42" s="530">
        <f t="shared" si="21"/>
        <v>435.24285714285713</v>
      </c>
      <c r="H42" s="530">
        <f t="shared" si="21"/>
        <v>0</v>
      </c>
      <c r="I42" s="530">
        <f t="shared" si="21"/>
        <v>147.21428571428572</v>
      </c>
      <c r="J42" s="530">
        <f t="shared" si="21"/>
        <v>0</v>
      </c>
      <c r="K42" s="532">
        <f t="shared" si="21"/>
        <v>441.84</v>
      </c>
      <c r="L42" s="532">
        <f t="shared" si="21"/>
        <v>0</v>
      </c>
      <c r="M42" s="532">
        <f t="shared" si="21"/>
        <v>0</v>
      </c>
      <c r="N42" s="530">
        <f t="shared" si="21"/>
        <v>0</v>
      </c>
      <c r="O42" s="531">
        <f t="shared" si="21"/>
        <v>217.39714285714285</v>
      </c>
      <c r="P42" s="594"/>
      <c r="Q42" s="516">
        <f t="shared" si="6"/>
        <v>1837.3285714285714</v>
      </c>
      <c r="R42" s="515">
        <v>4800</v>
      </c>
    </row>
    <row r="43" spans="1:24" ht="25.5" x14ac:dyDescent="0.2">
      <c r="A43" s="546" t="s">
        <v>208</v>
      </c>
      <c r="B43" s="574">
        <f t="shared" ref="B43:Q43" si="22">B42-B38</f>
        <v>0</v>
      </c>
      <c r="C43" s="574">
        <f t="shared" si="22"/>
        <v>-288.5949404761904</v>
      </c>
      <c r="D43" s="574">
        <f t="shared" si="22"/>
        <v>0</v>
      </c>
      <c r="E43" s="574">
        <f t="shared" si="22"/>
        <v>0</v>
      </c>
      <c r="F43" s="574">
        <f t="shared" si="22"/>
        <v>-837.83179047619024</v>
      </c>
      <c r="G43" s="575">
        <f t="shared" si="22"/>
        <v>-622.02407619047619</v>
      </c>
      <c r="H43" s="575">
        <f t="shared" si="22"/>
        <v>0</v>
      </c>
      <c r="I43" s="575">
        <f t="shared" si="22"/>
        <v>-1081.3326142857143</v>
      </c>
      <c r="J43" s="575">
        <f t="shared" si="22"/>
        <v>-81.366599999999991</v>
      </c>
      <c r="K43" s="576">
        <f t="shared" si="22"/>
        <v>-421.99499999999995</v>
      </c>
      <c r="L43" s="576">
        <f t="shared" si="22"/>
        <v>0</v>
      </c>
      <c r="M43" s="576">
        <f t="shared" si="22"/>
        <v>0</v>
      </c>
      <c r="N43" s="575">
        <f t="shared" si="22"/>
        <v>-562.07375000000002</v>
      </c>
      <c r="O43" s="574">
        <f t="shared" si="22"/>
        <v>217.39714285714285</v>
      </c>
      <c r="P43" s="577"/>
      <c r="Q43" s="518">
        <f t="shared" si="22"/>
        <v>-3677.8216285714288</v>
      </c>
      <c r="R43" s="537">
        <f>SUM(Q43,R42)</f>
        <v>1122.1783714285712</v>
      </c>
    </row>
    <row r="44" spans="1:24" ht="25.5" x14ac:dyDescent="0.2">
      <c r="A44" s="558" t="s">
        <v>251</v>
      </c>
      <c r="B44" s="584">
        <f t="shared" ref="B44:P44" si="23">B27/838</f>
        <v>0</v>
      </c>
      <c r="C44" s="584">
        <f t="shared" si="23"/>
        <v>13.821658711217182</v>
      </c>
      <c r="D44" s="584">
        <f t="shared" si="23"/>
        <v>0</v>
      </c>
      <c r="E44" s="584">
        <f t="shared" si="23"/>
        <v>0</v>
      </c>
      <c r="F44" s="584">
        <f t="shared" si="23"/>
        <v>17.787016706443914</v>
      </c>
      <c r="G44" s="585">
        <f t="shared" si="23"/>
        <v>0</v>
      </c>
      <c r="H44" s="585">
        <f t="shared" si="23"/>
        <v>0</v>
      </c>
      <c r="I44" s="585">
        <f t="shared" si="23"/>
        <v>44.483747016706438</v>
      </c>
      <c r="J44" s="585">
        <f t="shared" si="23"/>
        <v>19.419236276849642</v>
      </c>
      <c r="K44" s="586">
        <f t="shared" si="23"/>
        <v>15.712410501193318</v>
      </c>
      <c r="L44" s="586">
        <f t="shared" si="23"/>
        <v>0</v>
      </c>
      <c r="M44" s="586">
        <f t="shared" si="23"/>
        <v>0</v>
      </c>
      <c r="N44" s="585">
        <f t="shared" si="23"/>
        <v>8.5541169451073973</v>
      </c>
      <c r="O44" s="584">
        <f t="shared" si="23"/>
        <v>51.65966587112171</v>
      </c>
      <c r="P44" s="592">
        <f t="shared" si="23"/>
        <v>0</v>
      </c>
      <c r="Q44" s="538">
        <f>SUM(B44:P44)</f>
        <v>171.43785202863961</v>
      </c>
    </row>
    <row r="45" spans="1:24" ht="38.25" x14ac:dyDescent="0.2">
      <c r="A45" s="558" t="s">
        <v>252</v>
      </c>
      <c r="B45" s="584">
        <f t="shared" ref="B45:P45" si="24">B22/150</f>
        <v>0</v>
      </c>
      <c r="C45" s="584">
        <f t="shared" si="24"/>
        <v>1103.0999999999999</v>
      </c>
      <c r="D45" s="584">
        <f t="shared" si="24"/>
        <v>0</v>
      </c>
      <c r="E45" s="584">
        <f t="shared" si="24"/>
        <v>0</v>
      </c>
      <c r="F45" s="584">
        <f t="shared" si="24"/>
        <v>1419.5733333333333</v>
      </c>
      <c r="G45" s="585">
        <f>G28/150</f>
        <v>1308.6400000000001</v>
      </c>
      <c r="H45" s="585">
        <f t="shared" si="24"/>
        <v>0</v>
      </c>
      <c r="I45" s="585">
        <f t="shared" si="24"/>
        <v>3550.2266666666665</v>
      </c>
      <c r="J45" s="585">
        <f t="shared" si="24"/>
        <v>1549.84</v>
      </c>
      <c r="K45" s="586">
        <f t="shared" si="24"/>
        <v>1254</v>
      </c>
      <c r="L45" s="586">
        <f t="shared" si="24"/>
        <v>0</v>
      </c>
      <c r="M45" s="586">
        <f t="shared" si="24"/>
        <v>0</v>
      </c>
      <c r="N45" s="585">
        <f t="shared" si="24"/>
        <v>682.7</v>
      </c>
      <c r="O45" s="584">
        <f t="shared" si="24"/>
        <v>4122.9333333333334</v>
      </c>
      <c r="P45" s="592">
        <f t="shared" si="24"/>
        <v>0</v>
      </c>
      <c r="Q45" s="538">
        <f>SUM(B45:P45)</f>
        <v>14991.013333333332</v>
      </c>
      <c r="W45" s="539" t="s">
        <v>253</v>
      </c>
      <c r="X45" s="540">
        <v>100000</v>
      </c>
    </row>
    <row r="46" spans="1:24" ht="38.25" x14ac:dyDescent="0.2">
      <c r="A46" s="558" t="s">
        <v>254</v>
      </c>
      <c r="B46" s="584">
        <f t="shared" ref="B46:P46" si="25">2.1*B44</f>
        <v>0</v>
      </c>
      <c r="C46" s="584">
        <f t="shared" si="25"/>
        <v>29.025483293556086</v>
      </c>
      <c r="D46" s="584">
        <f t="shared" si="25"/>
        <v>0</v>
      </c>
      <c r="E46" s="584">
        <f t="shared" si="25"/>
        <v>0</v>
      </c>
      <c r="F46" s="584">
        <f t="shared" si="25"/>
        <v>37.352735083532224</v>
      </c>
      <c r="G46" s="585">
        <f t="shared" si="25"/>
        <v>0</v>
      </c>
      <c r="H46" s="585">
        <f t="shared" si="25"/>
        <v>0</v>
      </c>
      <c r="I46" s="585">
        <f t="shared" si="25"/>
        <v>93.415868735083521</v>
      </c>
      <c r="J46" s="585">
        <f t="shared" si="25"/>
        <v>40.780396181384248</v>
      </c>
      <c r="K46" s="586">
        <f t="shared" si="25"/>
        <v>32.99606205250597</v>
      </c>
      <c r="L46" s="586">
        <f t="shared" si="25"/>
        <v>0</v>
      </c>
      <c r="M46" s="586">
        <f t="shared" si="25"/>
        <v>0</v>
      </c>
      <c r="N46" s="585">
        <f t="shared" si="25"/>
        <v>17.963645584725533</v>
      </c>
      <c r="O46" s="584">
        <f t="shared" si="25"/>
        <v>108.4852983293556</v>
      </c>
      <c r="P46" s="592">
        <f t="shared" si="25"/>
        <v>0</v>
      </c>
      <c r="Q46" s="538">
        <f>SUM(B46:P46)</f>
        <v>360.01948926014319</v>
      </c>
      <c r="W46" s="539" t="s">
        <v>255</v>
      </c>
      <c r="X46" s="540">
        <v>11000</v>
      </c>
    </row>
    <row r="47" spans="1:24" ht="25.5" x14ac:dyDescent="0.2">
      <c r="A47" s="558" t="s">
        <v>256</v>
      </c>
      <c r="B47" s="597">
        <f t="shared" ref="B47:P47" si="26">0.22*B46</f>
        <v>0</v>
      </c>
      <c r="C47" s="597">
        <f t="shared" si="26"/>
        <v>6.3856063245823389</v>
      </c>
      <c r="D47" s="597">
        <f t="shared" si="26"/>
        <v>0</v>
      </c>
      <c r="E47" s="597">
        <f t="shared" si="26"/>
        <v>0</v>
      </c>
      <c r="F47" s="597">
        <f t="shared" si="26"/>
        <v>8.2176017183770895</v>
      </c>
      <c r="G47" s="598">
        <f t="shared" si="26"/>
        <v>0</v>
      </c>
      <c r="H47" s="598">
        <f t="shared" si="26"/>
        <v>0</v>
      </c>
      <c r="I47" s="598">
        <f t="shared" si="26"/>
        <v>20.551491121718374</v>
      </c>
      <c r="J47" s="598">
        <f t="shared" si="26"/>
        <v>8.9716871599045351</v>
      </c>
      <c r="K47" s="599">
        <f t="shared" si="26"/>
        <v>7.2591336515513136</v>
      </c>
      <c r="L47" s="599">
        <f t="shared" si="26"/>
        <v>0</v>
      </c>
      <c r="M47" s="599">
        <f t="shared" si="26"/>
        <v>0</v>
      </c>
      <c r="N47" s="598">
        <f t="shared" si="26"/>
        <v>3.9520020286396176</v>
      </c>
      <c r="O47" s="597">
        <f t="shared" si="26"/>
        <v>23.866765632458232</v>
      </c>
      <c r="P47" s="600">
        <f t="shared" si="26"/>
        <v>0</v>
      </c>
      <c r="Q47" s="538">
        <f>SUM(B47:P47)</f>
        <v>79.204287637231502</v>
      </c>
      <c r="W47" s="539" t="s">
        <v>257</v>
      </c>
      <c r="X47" s="541">
        <f>Q45</f>
        <v>14991.013333333332</v>
      </c>
    </row>
    <row r="48" spans="1:24" ht="25.5" x14ac:dyDescent="0.2">
      <c r="A48" s="558" t="s">
        <v>258</v>
      </c>
      <c r="B48" s="601">
        <f t="shared" ref="B48:P48" si="27">0.073*B46</f>
        <v>0</v>
      </c>
      <c r="C48" s="601">
        <f t="shared" si="27"/>
        <v>2.118860280429594</v>
      </c>
      <c r="D48" s="601">
        <f t="shared" si="27"/>
        <v>0</v>
      </c>
      <c r="E48" s="601">
        <f t="shared" si="27"/>
        <v>0</v>
      </c>
      <c r="F48" s="601">
        <f t="shared" si="27"/>
        <v>2.7267496610978523</v>
      </c>
      <c r="G48" s="602">
        <f t="shared" si="27"/>
        <v>0</v>
      </c>
      <c r="H48" s="602">
        <f t="shared" si="27"/>
        <v>0</v>
      </c>
      <c r="I48" s="602">
        <f t="shared" si="27"/>
        <v>6.8193584176610962</v>
      </c>
      <c r="J48" s="602">
        <f t="shared" si="27"/>
        <v>2.9769689212410499</v>
      </c>
      <c r="K48" s="603">
        <f t="shared" si="27"/>
        <v>2.4087125298329357</v>
      </c>
      <c r="L48" s="603">
        <f t="shared" si="27"/>
        <v>0</v>
      </c>
      <c r="M48" s="603">
        <f t="shared" si="27"/>
        <v>0</v>
      </c>
      <c r="N48" s="602">
        <f t="shared" si="27"/>
        <v>1.3113461276849638</v>
      </c>
      <c r="O48" s="601">
        <f t="shared" si="27"/>
        <v>7.9194267780429586</v>
      </c>
      <c r="P48" s="604">
        <f t="shared" si="27"/>
        <v>0</v>
      </c>
      <c r="Q48" s="538">
        <f>SUM(B48:P48)</f>
        <v>26.281422715990448</v>
      </c>
      <c r="R48" s="55" t="s">
        <v>259</v>
      </c>
      <c r="W48" s="539" t="s">
        <v>260</v>
      </c>
      <c r="X48" s="541">
        <f>Q46</f>
        <v>360.01948926014319</v>
      </c>
    </row>
    <row r="49" spans="1:24" ht="38.25" x14ac:dyDescent="0.2">
      <c r="A49" s="558" t="s">
        <v>261</v>
      </c>
      <c r="B49" s="570"/>
      <c r="C49" s="570"/>
      <c r="D49" s="570"/>
      <c r="E49" s="570"/>
      <c r="F49" s="570"/>
      <c r="G49" s="571"/>
      <c r="H49" s="571"/>
      <c r="I49" s="571"/>
      <c r="J49" s="571"/>
      <c r="K49" s="572"/>
      <c r="L49" s="572"/>
      <c r="M49" s="572"/>
      <c r="N49" s="571"/>
      <c r="O49" s="570"/>
      <c r="P49" s="573"/>
      <c r="Q49" s="542">
        <f>Q47*30</f>
        <v>2376.1286291169449</v>
      </c>
      <c r="W49" s="539" t="s">
        <v>262</v>
      </c>
      <c r="X49" s="543">
        <f>(X46+X45)/X45</f>
        <v>1.1100000000000001</v>
      </c>
    </row>
    <row r="50" spans="1:24" ht="25.5" x14ac:dyDescent="0.2">
      <c r="A50" s="558" t="s">
        <v>263</v>
      </c>
      <c r="B50" s="570"/>
      <c r="C50" s="570"/>
      <c r="D50" s="570"/>
      <c r="E50" s="570"/>
      <c r="F50" s="570"/>
      <c r="G50" s="571"/>
      <c r="H50" s="571"/>
      <c r="I50" s="571"/>
      <c r="J50" s="571"/>
      <c r="K50" s="572"/>
      <c r="L50" s="572"/>
      <c r="M50" s="572"/>
      <c r="N50" s="571"/>
      <c r="O50" s="570"/>
      <c r="P50" s="573"/>
      <c r="Q50" s="542">
        <f>Q47/11*150</f>
        <v>1080.0584677804295</v>
      </c>
      <c r="W50" s="539" t="s">
        <v>264</v>
      </c>
      <c r="X50" s="543">
        <f>(X46+X48)/X46</f>
        <v>1.0327290444781949</v>
      </c>
    </row>
    <row r="51" spans="1:24" ht="13.5" thickBot="1" x14ac:dyDescent="0.25">
      <c r="A51" s="559" t="s">
        <v>265</v>
      </c>
      <c r="B51" s="570"/>
      <c r="C51" s="570"/>
      <c r="D51" s="570"/>
      <c r="E51" s="570"/>
      <c r="F51" s="570"/>
      <c r="G51" s="571"/>
      <c r="H51" s="571"/>
      <c r="I51" s="571"/>
      <c r="J51" s="571"/>
      <c r="K51" s="572"/>
      <c r="L51" s="572"/>
      <c r="M51" s="572"/>
      <c r="N51" s="571"/>
      <c r="O51" s="570"/>
      <c r="P51" s="573"/>
      <c r="Q51" s="544">
        <f>SUM(Q49:Q50)</f>
        <v>3456.1870968973744</v>
      </c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zoomScale="111" zoomScaleNormal="184" workbookViewId="0">
      <selection activeCell="H31" sqref="H31"/>
    </sheetView>
  </sheetViews>
  <sheetFormatPr defaultColWidth="9.140625" defaultRowHeight="12.75" x14ac:dyDescent="0.2"/>
  <cols>
    <col min="1" max="2" width="14.140625" style="1" customWidth="1"/>
    <col min="3" max="4" width="14.140625" style="3" customWidth="1"/>
    <col min="5" max="14" width="14.140625" style="1" customWidth="1"/>
    <col min="15" max="16384" width="9.140625" style="1"/>
  </cols>
  <sheetData>
    <row r="1" spans="1:15" ht="14.1" customHeight="1" thickBot="1" x14ac:dyDescent="0.3">
      <c r="A1" s="92" t="s">
        <v>71</v>
      </c>
      <c r="B1" s="94">
        <v>198923</v>
      </c>
      <c r="M1" s="97" t="s">
        <v>71</v>
      </c>
      <c r="N1" s="98">
        <v>198923</v>
      </c>
    </row>
    <row r="2" spans="1:15" ht="14.1" customHeight="1" thickBot="1" x14ac:dyDescent="0.25">
      <c r="A2" s="99"/>
      <c r="B2" s="100"/>
      <c r="C2" s="136"/>
      <c r="D2" s="101">
        <v>0</v>
      </c>
      <c r="E2" s="100">
        <v>1</v>
      </c>
      <c r="F2" s="100">
        <v>2</v>
      </c>
      <c r="G2" s="100">
        <v>3</v>
      </c>
      <c r="H2" s="100">
        <v>4</v>
      </c>
      <c r="I2" s="100">
        <v>5</v>
      </c>
      <c r="J2" s="100">
        <v>6</v>
      </c>
      <c r="K2" s="100">
        <v>7</v>
      </c>
      <c r="L2" s="100">
        <v>8</v>
      </c>
      <c r="M2" s="100">
        <v>9</v>
      </c>
      <c r="N2" s="102">
        <v>10</v>
      </c>
      <c r="O2" s="2"/>
    </row>
    <row r="3" spans="1:15" ht="14.1" customHeight="1" x14ac:dyDescent="0.2">
      <c r="A3" s="124"/>
      <c r="B3" s="125"/>
      <c r="C3" s="137"/>
      <c r="D3" s="126" t="s">
        <v>100</v>
      </c>
      <c r="E3" s="127" t="s">
        <v>56</v>
      </c>
      <c r="F3" s="128"/>
      <c r="G3" s="127"/>
      <c r="H3" s="127" t="s">
        <v>124</v>
      </c>
      <c r="I3" s="127"/>
      <c r="J3" s="127"/>
      <c r="K3" s="127" t="s">
        <v>125</v>
      </c>
      <c r="L3" s="127"/>
      <c r="M3" s="127"/>
      <c r="N3" s="129"/>
    </row>
    <row r="4" spans="1:15" ht="14.1" customHeight="1" thickBot="1" x14ac:dyDescent="0.25">
      <c r="A4" s="145"/>
      <c r="B4" s="146"/>
      <c r="C4" s="147" t="s">
        <v>28</v>
      </c>
      <c r="D4" s="148" t="s">
        <v>118</v>
      </c>
      <c r="E4" s="149">
        <v>2021</v>
      </c>
      <c r="F4" s="106">
        <f>E4+1</f>
        <v>2022</v>
      </c>
      <c r="G4" s="106">
        <f t="shared" ref="G4:N4" si="0">F4+1</f>
        <v>2023</v>
      </c>
      <c r="H4" s="106">
        <f t="shared" si="0"/>
        <v>2024</v>
      </c>
      <c r="I4" s="106">
        <f t="shared" si="0"/>
        <v>2025</v>
      </c>
      <c r="J4" s="106">
        <f t="shared" si="0"/>
        <v>2026</v>
      </c>
      <c r="K4" s="106">
        <f t="shared" si="0"/>
        <v>2027</v>
      </c>
      <c r="L4" s="106">
        <f t="shared" si="0"/>
        <v>2028</v>
      </c>
      <c r="M4" s="106">
        <f t="shared" si="0"/>
        <v>2029</v>
      </c>
      <c r="N4" s="150">
        <f t="shared" si="0"/>
        <v>2030</v>
      </c>
      <c r="O4" s="21"/>
    </row>
    <row r="5" spans="1:15" ht="14.1" customHeight="1" x14ac:dyDescent="0.2">
      <c r="A5" s="151" t="s">
        <v>12</v>
      </c>
      <c r="B5" s="152"/>
      <c r="C5" s="153">
        <v>0.02</v>
      </c>
      <c r="D5" s="154"/>
      <c r="E5" s="155"/>
      <c r="F5" s="155"/>
      <c r="G5" s="155"/>
      <c r="H5" s="155"/>
      <c r="I5" s="155"/>
      <c r="J5" s="155"/>
      <c r="K5" s="155"/>
      <c r="L5" s="155"/>
      <c r="M5" s="155"/>
      <c r="N5" s="156"/>
      <c r="O5" s="21"/>
    </row>
    <row r="6" spans="1:15" ht="18" customHeight="1" x14ac:dyDescent="0.2">
      <c r="A6" s="607" t="s">
        <v>8</v>
      </c>
      <c r="B6" s="42"/>
      <c r="C6" s="608"/>
      <c r="D6" s="609"/>
      <c r="E6" s="610"/>
      <c r="F6" s="610"/>
      <c r="G6" s="610"/>
      <c r="H6" s="610"/>
      <c r="I6" s="610"/>
      <c r="J6" s="610"/>
      <c r="K6" s="610"/>
      <c r="L6" s="610"/>
      <c r="M6" s="610"/>
      <c r="N6" s="611"/>
      <c r="O6" s="21"/>
    </row>
    <row r="7" spans="1:15" ht="14.1" customHeight="1" x14ac:dyDescent="0.2">
      <c r="A7" s="1013" t="s">
        <v>81</v>
      </c>
      <c r="B7" s="71" t="s">
        <v>74</v>
      </c>
      <c r="C7" s="138"/>
      <c r="D7" s="116">
        <f>$B$29*((1+$C$5)^D2)*'Development Schedule'!D9*$C$29</f>
        <v>0</v>
      </c>
      <c r="E7" s="754">
        <f>$B$29*((1+$C$5)^E2)*'Development Schedule'!E9*$C$29</f>
        <v>0</v>
      </c>
      <c r="F7" s="754">
        <f>$B$29*((1+$C$5)^F2)*'Development Schedule'!F9*$C$29</f>
        <v>0</v>
      </c>
      <c r="G7" s="754">
        <f>$B$29*((1+$C$5)^G2)*'Development Schedule'!G9*$C$29</f>
        <v>0</v>
      </c>
      <c r="H7" s="749">
        <f>$B$29*((1+$C$5)^H2)*'Development Schedule'!H9*$C$29</f>
        <v>0</v>
      </c>
      <c r="I7" s="749">
        <f>$B$29*((1+$C$5)^I2)*'Development Schedule'!I9*$C$29</f>
        <v>0</v>
      </c>
      <c r="J7" s="749">
        <f>$B$29*((1+$C$5)^J2)*'Development Schedule'!J9*$C$29</f>
        <v>0</v>
      </c>
      <c r="K7" s="744">
        <f>$B$29*((1+$C$5)^K2)*'Development Schedule'!K9*$C$29</f>
        <v>0</v>
      </c>
      <c r="L7" s="744">
        <f>$B$29*((1+$C$5)^L2)*'Development Schedule'!L9*$C$29</f>
        <v>0</v>
      </c>
      <c r="M7" s="744">
        <f>$B$29*((1+$C$5)^M2)*'Development Schedule'!M9*$C$29</f>
        <v>0</v>
      </c>
      <c r="N7" s="744">
        <f>$B$29*((1+$C$5)^N2)*'Development Schedule'!N9*$C$29</f>
        <v>0</v>
      </c>
      <c r="O7" s="21"/>
    </row>
    <row r="8" spans="1:15" ht="14.1" customHeight="1" x14ac:dyDescent="0.2">
      <c r="A8" s="1014"/>
      <c r="B8" s="71" t="s">
        <v>75</v>
      </c>
      <c r="C8" s="138"/>
      <c r="D8" s="117">
        <f>$B$30*((1+$C$5)^D2)*'Development Schedule'!D11*$C$30</f>
        <v>0</v>
      </c>
      <c r="E8" s="742">
        <f>$B$30*((1+$C$5)^E2)*'Development Schedule'!E11*$C$30</f>
        <v>0</v>
      </c>
      <c r="F8" s="742">
        <f>$B$30*((1+$C$5)^F2)*'Development Schedule'!F11*$C$30</f>
        <v>0</v>
      </c>
      <c r="G8" s="742">
        <f>$B$30*((1+$C$5)^G2)*'Development Schedule'!G11*$C$30</f>
        <v>0</v>
      </c>
      <c r="H8" s="741">
        <f>$B$30*((1+$C$5)^H2)*'Development Schedule'!H11*$C$30</f>
        <v>0</v>
      </c>
      <c r="I8" s="741">
        <f>$B$30*((1+$C$5)^I2)*'Development Schedule'!I11*$C$30</f>
        <v>0</v>
      </c>
      <c r="J8" s="741">
        <f>$B$30*((1+$C$5)^J2)*'Development Schedule'!J11*$C$30</f>
        <v>0</v>
      </c>
      <c r="K8" s="743">
        <f>$B$30*((1+$C$5)^K2)*'Development Schedule'!K11*$C$30</f>
        <v>0</v>
      </c>
      <c r="L8" s="743">
        <f>$B$30*((1+$C$5)^L2)*'Development Schedule'!L11*$C$30</f>
        <v>0</v>
      </c>
      <c r="M8" s="743">
        <f>$B$30*((1+$C$5)^M2)*'Development Schedule'!M11*$C$30</f>
        <v>0</v>
      </c>
      <c r="N8" s="743">
        <f>$B$30*((1+$C$5)^N2)*'Development Schedule'!N11*$C$30</f>
        <v>0</v>
      </c>
      <c r="O8" s="21"/>
    </row>
    <row r="9" spans="1:15" ht="14.1" customHeight="1" x14ac:dyDescent="0.2">
      <c r="A9" s="1013" t="s">
        <v>80</v>
      </c>
      <c r="B9" s="71" t="s">
        <v>74</v>
      </c>
      <c r="C9" s="138"/>
      <c r="D9" s="117">
        <f>$B$29*((1+$C$5)^D2)*'Development Schedule'!D10*$C$29</f>
        <v>0</v>
      </c>
      <c r="E9" s="742">
        <f>$B$29*((1+$C$5)^E2)*'Development Schedule'!E10*$C$29</f>
        <v>0</v>
      </c>
      <c r="F9" s="742">
        <f>$B$29*((1+$C$5)^F2)*'Development Schedule'!F10*$C$29</f>
        <v>0</v>
      </c>
      <c r="G9" s="742">
        <f>$B$29*((1+$C$5)^G2)*'Development Schedule'!G10*$C$29</f>
        <v>0</v>
      </c>
      <c r="H9" s="741">
        <f>$B$29*((1+$C$5)^H2)*'Development Schedule'!H10*$C$29</f>
        <v>0</v>
      </c>
      <c r="I9" s="741">
        <f>$B$29*((1+$C$5)^I2)*'Development Schedule'!I10*$C$29</f>
        <v>0</v>
      </c>
      <c r="J9" s="741">
        <f>$B$29*((1+$C$5)^J2)*'Development Schedule'!J10*$C$29</f>
        <v>0</v>
      </c>
      <c r="K9" s="743">
        <f>$B$29*((1+$C$5)^K2)*'Development Schedule'!K10*$C$29</f>
        <v>0</v>
      </c>
      <c r="L9" s="743">
        <f>$B$29*((1+$C$5)^L2)*'Development Schedule'!L10*$C$29</f>
        <v>0</v>
      </c>
      <c r="M9" s="743">
        <f>$B$29*((1+$C$5)^M2)*'Development Schedule'!M10*$C$29</f>
        <v>0</v>
      </c>
      <c r="N9" s="743">
        <f>$B$29*((1+$C$5)^N2)*'Development Schedule'!N10*$C$29</f>
        <v>0</v>
      </c>
      <c r="O9" s="21"/>
    </row>
    <row r="10" spans="1:15" ht="14.1" customHeight="1" x14ac:dyDescent="0.2">
      <c r="A10" s="1014"/>
      <c r="B10" s="71" t="s">
        <v>75</v>
      </c>
      <c r="C10" s="138"/>
      <c r="D10" s="117">
        <f>$B$30*((1+$C$5)^D2)*'Development Schedule'!D12*$C$30</f>
        <v>0</v>
      </c>
      <c r="E10" s="742">
        <f>$B$30*((1+$C$5)^E2)*'Development Schedule'!E12*$C$30</f>
        <v>0</v>
      </c>
      <c r="F10" s="742">
        <f>$B$30*((1+$C$5)^F2)*'Development Schedule'!F12*$C$30</f>
        <v>0</v>
      </c>
      <c r="G10" s="742">
        <f>$B$30*((1+$C$5)^G2)*'Development Schedule'!G12*$C$30</f>
        <v>0</v>
      </c>
      <c r="H10" s="741">
        <f>$B$30*((1+$C$5)^H2)*'Development Schedule'!H12*$C$30</f>
        <v>0</v>
      </c>
      <c r="I10" s="741">
        <f>$B$30*((1+$C$5)^I2)*'Development Schedule'!I12*$C$30</f>
        <v>0</v>
      </c>
      <c r="J10" s="741">
        <f>$B$30*((1+$C$5)^J2)*'Development Schedule'!J12*$C$30</f>
        <v>0</v>
      </c>
      <c r="K10" s="743">
        <f>$B$30*((1+$C$5)^K2)*'Development Schedule'!K12*$C$30</f>
        <v>0</v>
      </c>
      <c r="L10" s="743">
        <f>$B$30*((1+$C$5)^L2)*'Development Schedule'!L12*$C$30</f>
        <v>0</v>
      </c>
      <c r="M10" s="743">
        <f>$B$30*((1+$C$5)^M2)*'Development Schedule'!M12*$C$30</f>
        <v>0</v>
      </c>
      <c r="N10" s="743">
        <f>$B$30*((1+$C$5)^N2)*'Development Schedule'!N12*$C$30</f>
        <v>0</v>
      </c>
      <c r="O10" s="21"/>
    </row>
    <row r="11" spans="1:15" ht="14.1" customHeight="1" x14ac:dyDescent="0.2">
      <c r="A11" s="1009" t="s">
        <v>76</v>
      </c>
      <c r="B11" s="1010"/>
      <c r="C11" s="138"/>
      <c r="D11" s="117">
        <f>$B$31*((1+$C$5)^D2)*'Development Schedule'!D13*$C$31</f>
        <v>0</v>
      </c>
      <c r="E11" s="742">
        <f>$B$31*((1+$C$5)^E2)*'Development Schedule'!E13*$C$31</f>
        <v>430293.73199999996</v>
      </c>
      <c r="F11" s="742">
        <f>$B$31*((1+$C$5)^F2)*'Development Schedule'!F13*$C$31</f>
        <v>438899.60664000001</v>
      </c>
      <c r="G11" s="742">
        <f>$B$31*((1+$C$5)^G2)*'Development Schedule'!G13*$C$31</f>
        <v>0</v>
      </c>
      <c r="H11" s="741">
        <f>$B$31*((1+$C$5)^H2)*'Development Schedule'!H13*$C$31</f>
        <v>326196.83067127195</v>
      </c>
      <c r="I11" s="741">
        <f>$B$31*((1+$C$5)^I2)*'Development Schedule'!I13*$C$31</f>
        <v>332720.76728469745</v>
      </c>
      <c r="J11" s="741">
        <f>$B$31*((1+$C$5)^J2)*'Development Schedule'!J13*$C$31</f>
        <v>0</v>
      </c>
      <c r="K11" s="743">
        <f>$B$31*((1+$C$5)^K2)*'Development Schedule'!K13*$C$31</f>
        <v>108033.88704241478</v>
      </c>
      <c r="L11" s="743">
        <f>$B$31*((1+$C$5)^L2)*'Development Schedule'!L13*$C$31</f>
        <v>110194.56478326306</v>
      </c>
      <c r="M11" s="743">
        <f>$B$31*((1+$C$5)^M2)*'Development Schedule'!M13*$C$31</f>
        <v>0</v>
      </c>
      <c r="N11" s="743">
        <f>$B$31*((1+$C$5)^N2)*'Development Schedule'!N13*$C$31</f>
        <v>0</v>
      </c>
      <c r="O11" s="21"/>
    </row>
    <row r="12" spans="1:15" ht="14.1" customHeight="1" x14ac:dyDescent="0.2">
      <c r="A12" s="1009" t="s">
        <v>77</v>
      </c>
      <c r="B12" s="1010"/>
      <c r="C12" s="138"/>
      <c r="D12" s="117">
        <f>$B$32*((1+$C$5)^D2)*'Development Schedule'!D17*$C$32</f>
        <v>0</v>
      </c>
      <c r="E12" s="742">
        <f>$B$32*((1+$C$5)^E2)*'Development Schedule'!E17*$C$32</f>
        <v>0</v>
      </c>
      <c r="F12" s="742">
        <f>$B$32*((1+$C$5)^F2)*'Development Schedule'!F17*$C$32</f>
        <v>0</v>
      </c>
      <c r="G12" s="742">
        <f>$B$32*((1+$C$5)^G2)*'Development Schedule'!G17*$C$32</f>
        <v>0</v>
      </c>
      <c r="H12" s="741">
        <f>$B$32*((1+$C$5)^H2)*'Development Schedule'!H17*$C$32</f>
        <v>0</v>
      </c>
      <c r="I12" s="741">
        <f>$B$32*((1+$C$5)^I2)*'Development Schedule'!I17*$C$32</f>
        <v>0</v>
      </c>
      <c r="J12" s="741">
        <f>$B$32*((1+$C$5)^J2)*'Development Schedule'!J17*$C$32</f>
        <v>0</v>
      </c>
      <c r="K12" s="743">
        <f>$B$32*((1+$C$5)^K2)*'Development Schedule'!K17*$C$32</f>
        <v>0</v>
      </c>
      <c r="L12" s="743">
        <f>$B$32*((1+$C$5)^L2)*'Development Schedule'!L17*$C$32</f>
        <v>0</v>
      </c>
      <c r="M12" s="743">
        <f>$B$32*((1+$C$5)^M2)*'Development Schedule'!M17*$C$32</f>
        <v>0</v>
      </c>
      <c r="N12" s="743">
        <f>$B$32*((1+$C$5)^N2)*'Development Schedule'!N17*$C$32</f>
        <v>0</v>
      </c>
      <c r="O12" s="21"/>
    </row>
    <row r="13" spans="1:15" ht="14.1" customHeight="1" x14ac:dyDescent="0.2">
      <c r="A13" s="1009" t="s">
        <v>78</v>
      </c>
      <c r="B13" s="1010"/>
      <c r="C13" s="138"/>
      <c r="D13" s="117">
        <f>$B$33*((1+$C$5)^D2)*'Development Schedule'!D18*$C$33</f>
        <v>0</v>
      </c>
      <c r="E13" s="742">
        <f>$B$33*((1+$C$5)^E2)*'Development Schedule'!E18*$C$33</f>
        <v>0</v>
      </c>
      <c r="F13" s="742">
        <f>$B$33*((1+$C$5)^F2)*'Development Schedule'!F18*$C$33</f>
        <v>0</v>
      </c>
      <c r="G13" s="742">
        <f>$B$33*((1+$C$5)^G2)*'Development Schedule'!G18*$C$33</f>
        <v>0</v>
      </c>
      <c r="H13" s="741">
        <f>$B$33*((1+$C$5)^H2)*'Development Schedule'!H18*$C$33</f>
        <v>0</v>
      </c>
      <c r="I13" s="741">
        <f>$B$33*((1+$C$5)^I2)*'Development Schedule'!I18*$C$33</f>
        <v>0</v>
      </c>
      <c r="J13" s="741">
        <f>$B$33*((1+$C$5)^J2)*'Development Schedule'!J18*$C$33</f>
        <v>0</v>
      </c>
      <c r="K13" s="743">
        <f>$B$33*((1+$C$5)^K2)*'Development Schedule'!K18*$C$33</f>
        <v>0</v>
      </c>
      <c r="L13" s="743">
        <f>$B$33*((1+$C$5)^L2)*'Development Schedule'!L18*$C$33</f>
        <v>0</v>
      </c>
      <c r="M13" s="743">
        <f>$B$33*((1+$C$5)^M2)*'Development Schedule'!M18*$C$33</f>
        <v>0</v>
      </c>
      <c r="N13" s="743">
        <f>$B$33*((1+$C$5)^N2)*'Development Schedule'!N18*$C$33</f>
        <v>0</v>
      </c>
      <c r="O13" s="21"/>
    </row>
    <row r="14" spans="1:15" ht="14.1" customHeight="1" x14ac:dyDescent="0.2">
      <c r="A14" s="1009" t="s">
        <v>79</v>
      </c>
      <c r="B14" s="1010"/>
      <c r="C14" s="138"/>
      <c r="D14" s="117">
        <f>$B$34*((1+$C$5)^D2)*'Development Schedule'!D20*$C$34</f>
        <v>0</v>
      </c>
      <c r="E14" s="742">
        <f>$B$34*((1+$C$5)^E2)*'Development Schedule'!E20*$C$34</f>
        <v>261226.99799999996</v>
      </c>
      <c r="F14" s="742">
        <f>$B$34*((1+$C$5)^F2)*'Development Schedule'!F20*$C$34</f>
        <v>266451.53795999999</v>
      </c>
      <c r="G14" s="742">
        <f>$B$34*((1+$C$5)^G2)*'Development Schedule'!G20*$C$34</f>
        <v>0</v>
      </c>
      <c r="H14" s="741">
        <f>$B$34*((1+$C$5)^H2)*'Development Schedule'!H20*$C$34</f>
        <v>198598.15812384</v>
      </c>
      <c r="I14" s="741">
        <f>$B$34*((1+$C$5)^I2)*'Development Schedule'!I20*$C$34</f>
        <v>202570.1212863168</v>
      </c>
      <c r="J14" s="741">
        <f>$B$34*((1+$C$5)^J2)*'Development Schedule'!J20*$C$34</f>
        <v>0</v>
      </c>
      <c r="K14" s="743">
        <f>$B$34*((1+$C$5)^K2)*'Development Schedule'!K20*$C$34</f>
        <v>159873.61174915973</v>
      </c>
      <c r="L14" s="743">
        <f>$B$34*((1+$C$5)^L2)*'Development Schedule'!L20*$C$34</f>
        <v>163071.0839841429</v>
      </c>
      <c r="M14" s="743">
        <f>$B$34*((1+$C$5)^M2)*'Development Schedule'!M20*$C$34</f>
        <v>0</v>
      </c>
      <c r="N14" s="743">
        <f>$B$34*((1+$C$5)^N2)*'Development Schedule'!N20*$C$34</f>
        <v>0</v>
      </c>
      <c r="O14" s="21"/>
    </row>
    <row r="15" spans="1:15" ht="14.1" customHeight="1" x14ac:dyDescent="0.2">
      <c r="A15" s="1009" t="s">
        <v>53</v>
      </c>
      <c r="B15" s="1010"/>
      <c r="C15" s="139"/>
      <c r="D15" s="117">
        <f>$B$35*((1+$C$5)^D2)*'Development Schedule'!D22*$C$35</f>
        <v>0</v>
      </c>
      <c r="E15" s="742">
        <f>$B$35*((1+$C$5)^E2)*'Development Schedule'!E22*$C$35</f>
        <v>0</v>
      </c>
      <c r="F15" s="742">
        <f>$B$35*((1+$C$5)^F2)*'Development Schedule'!F22*$C$35</f>
        <v>0</v>
      </c>
      <c r="G15" s="742">
        <f>$B$35*((1+$C$5)^G2)*'Development Schedule'!G22*$C$35</f>
        <v>0</v>
      </c>
      <c r="H15" s="741">
        <f>$B$35*((1+$C$5)^H2)*'Development Schedule'!H22*$C$35</f>
        <v>0</v>
      </c>
      <c r="I15" s="741">
        <f>$B$35*((1+$C$5)^I2)*'Development Schedule'!I22*$C$35</f>
        <v>0</v>
      </c>
      <c r="J15" s="741">
        <f>$B$35*((1+$C$5)^J2)*'Development Schedule'!J22*$C$35</f>
        <v>0</v>
      </c>
      <c r="K15" s="743">
        <f>$B$35*((1+$C$5)^K2)*'Development Schedule'!K22*$C$35</f>
        <v>0</v>
      </c>
      <c r="L15" s="743">
        <f>$B$35*((1+$C$5)^L2)*'Development Schedule'!L22*$C$35</f>
        <v>0</v>
      </c>
      <c r="M15" s="743">
        <f>$B$35*((1+$C$5)^M2)*'Development Schedule'!M22*$C$35</f>
        <v>0</v>
      </c>
      <c r="N15" s="743">
        <f>$B$35*((1+$C$5)^N2)*'Development Schedule'!N22*$C$35</f>
        <v>0</v>
      </c>
      <c r="O15" s="21"/>
    </row>
    <row r="16" spans="1:15" ht="14.1" customHeight="1" x14ac:dyDescent="0.2">
      <c r="A16" s="1011" t="s">
        <v>49</v>
      </c>
      <c r="B16" s="1012"/>
      <c r="C16" s="140"/>
      <c r="D16" s="118">
        <f>SUM(D7:D15)</f>
        <v>0</v>
      </c>
      <c r="E16" s="755">
        <f t="shared" ref="E16:N16" si="1">SUM(E7:E15)</f>
        <v>691520.73</v>
      </c>
      <c r="F16" s="755">
        <f t="shared" si="1"/>
        <v>705351.1446</v>
      </c>
      <c r="G16" s="755">
        <f t="shared" si="1"/>
        <v>0</v>
      </c>
      <c r="H16" s="750">
        <f t="shared" si="1"/>
        <v>524794.98879511189</v>
      </c>
      <c r="I16" s="750">
        <f t="shared" si="1"/>
        <v>535290.88857101428</v>
      </c>
      <c r="J16" s="750">
        <f t="shared" si="1"/>
        <v>0</v>
      </c>
      <c r="K16" s="745">
        <f t="shared" si="1"/>
        <v>267907.4987915745</v>
      </c>
      <c r="L16" s="745">
        <f t="shared" si="1"/>
        <v>273265.64876740595</v>
      </c>
      <c r="M16" s="745">
        <f t="shared" si="1"/>
        <v>0</v>
      </c>
      <c r="N16" s="745">
        <f t="shared" si="1"/>
        <v>0</v>
      </c>
      <c r="O16" s="21"/>
    </row>
    <row r="17" spans="1:15" ht="18" customHeight="1" x14ac:dyDescent="0.2">
      <c r="A17" s="607" t="s">
        <v>9</v>
      </c>
      <c r="B17" s="42"/>
      <c r="C17" s="612"/>
      <c r="D17" s="613"/>
      <c r="E17" s="610"/>
      <c r="F17" s="610"/>
      <c r="G17" s="610"/>
      <c r="H17" s="610"/>
      <c r="I17" s="610"/>
      <c r="J17" s="610"/>
      <c r="K17" s="610"/>
      <c r="L17" s="610"/>
      <c r="M17" s="610"/>
      <c r="N17" s="611"/>
      <c r="O17" s="21"/>
    </row>
    <row r="18" spans="1:15" ht="14.1" customHeight="1" x14ac:dyDescent="0.2">
      <c r="A18" s="1009" t="s">
        <v>50</v>
      </c>
      <c r="B18" s="1010"/>
      <c r="C18" s="141"/>
      <c r="D18" s="119">
        <f>$B$36*((1+$C$5)^D2)*'Development Schedule'!D23*$C$36</f>
        <v>0</v>
      </c>
      <c r="E18" s="756">
        <f>$B$36*((1+$C$5)^E2)*'Development Schedule'!E23*$C$36</f>
        <v>1165084.7999999998</v>
      </c>
      <c r="F18" s="756">
        <f>$B$36*((1+$C$5)^F2)*'Development Schedule'!F23*$C$36</f>
        <v>1188386.496</v>
      </c>
      <c r="G18" s="756">
        <f>$B$36*((1+$C$5)^G2)*'Development Schedule'!G23*$C$36</f>
        <v>0</v>
      </c>
      <c r="H18" s="751">
        <f>$B$36*((1+$C$5)^H2)*'Development Schedule'!H23*$C$36</f>
        <v>2621813.0563439997</v>
      </c>
      <c r="I18" s="751">
        <f>$B$36*((1+$C$5)^I2)*'Development Schedule'!I23*$C$36</f>
        <v>2674249.3174708802</v>
      </c>
      <c r="J18" s="751">
        <f>$B$36*((1+$C$5)^J2)*'Development Schedule'!J23*$C$36</f>
        <v>0</v>
      </c>
      <c r="K18" s="746">
        <f>$B$36*((1+$C$5)^K2)*'Development Schedule'!K23*$C$36</f>
        <v>410591.94847289688</v>
      </c>
      <c r="L18" s="746">
        <f>$B$36*((1+$C$5)^L2)*'Development Schedule'!L23*$C$36</f>
        <v>418803.78744235478</v>
      </c>
      <c r="M18" s="746">
        <f>$B$36*((1+$C$5)^M2)*'Development Schedule'!M23*$C$36</f>
        <v>0</v>
      </c>
      <c r="N18" s="746">
        <f>$B$36*((1+$C$5)^N2)*'Development Schedule'!N23*$C$36</f>
        <v>0</v>
      </c>
      <c r="O18" s="21"/>
    </row>
    <row r="19" spans="1:15" ht="14.1" customHeight="1" x14ac:dyDescent="0.2">
      <c r="A19" s="823"/>
      <c r="B19" s="824" t="s">
        <v>302</v>
      </c>
      <c r="C19" s="141"/>
      <c r="D19" s="979"/>
      <c r="E19" s="980">
        <f>$B$38*((1+$C$5)^D2)*SUM('Development Schedule by Lot'!C5:F5)*$C$38</f>
        <v>25861080</v>
      </c>
      <c r="F19" s="980"/>
      <c r="G19" s="980"/>
      <c r="H19" s="981"/>
      <c r="I19" s="981"/>
      <c r="J19" s="981"/>
      <c r="K19" s="982"/>
      <c r="L19" s="982"/>
      <c r="M19" s="982"/>
      <c r="N19" s="982"/>
      <c r="O19" s="21"/>
    </row>
    <row r="20" spans="1:15" ht="14.1" customHeight="1" x14ac:dyDescent="0.2">
      <c r="A20" s="823"/>
      <c r="B20" s="1" t="s">
        <v>303</v>
      </c>
      <c r="C20" s="141"/>
      <c r="D20" s="979"/>
      <c r="E20" s="980">
        <f>$B$38*((1+$C$5)^D2)*('Development Schedule by Lot'!C5+'Development Schedule by Lot'!F5)*$C$38</f>
        <v>12978840</v>
      </c>
      <c r="F20" s="980"/>
      <c r="G20" s="980"/>
      <c r="H20" s="981"/>
      <c r="I20" s="981"/>
      <c r="J20" s="981"/>
      <c r="K20" s="982"/>
      <c r="L20" s="982"/>
      <c r="M20" s="982"/>
      <c r="N20" s="982"/>
      <c r="O20" s="21"/>
    </row>
    <row r="21" spans="1:15" ht="14.1" customHeight="1" x14ac:dyDescent="0.2">
      <c r="A21" s="1009" t="s">
        <v>53</v>
      </c>
      <c r="B21" s="1010"/>
      <c r="C21" s="141"/>
      <c r="D21" s="120">
        <f>$B$37*((1+$C$5)^D2)*'Development Schedule'!D24*$C$37</f>
        <v>0</v>
      </c>
      <c r="E21" s="757">
        <f>$B$37*((1+$C$5)^E2)*'Development Schedule'!E24*$C$37</f>
        <v>0</v>
      </c>
      <c r="F21" s="757">
        <f>$B$37*((1+$C$5)^F2)*'Development Schedule'!F24*$C$37</f>
        <v>0</v>
      </c>
      <c r="G21" s="757">
        <f>$B$37*((1+$C$5)^G2)*'Development Schedule'!G24*$C$37</f>
        <v>0</v>
      </c>
      <c r="H21" s="752">
        <f>$B$37*((1+$C$5)^H2)*'Development Schedule'!H24*$C$37</f>
        <v>0</v>
      </c>
      <c r="I21" s="752">
        <f>$B$37*((1+$C$5)^I2)*'Development Schedule'!I24*$C$37</f>
        <v>0</v>
      </c>
      <c r="J21" s="752">
        <f>$B$37*((1+$C$5)^J2)*'Development Schedule'!J24*$C$37</f>
        <v>0</v>
      </c>
      <c r="K21" s="747">
        <f>$B$37*((1+$C$5)^K2)*'Development Schedule'!K24*$C$37</f>
        <v>0</v>
      </c>
      <c r="L21" s="747">
        <f>$B$37*((1+$C$5)^L2)*'Development Schedule'!L24*$C$37</f>
        <v>0</v>
      </c>
      <c r="M21" s="747">
        <f>$B$37*((1+$C$5)^M2)*'Development Schedule'!M24*$C$37</f>
        <v>0</v>
      </c>
      <c r="N21" s="747">
        <f>$B$37*((1+$C$5)^N2)*'Development Schedule'!N24*$C$37</f>
        <v>0</v>
      </c>
      <c r="O21" s="21"/>
    </row>
    <row r="22" spans="1:15" ht="14.1" customHeight="1" x14ac:dyDescent="0.2">
      <c r="A22" s="1011" t="s">
        <v>49</v>
      </c>
      <c r="B22" s="1012"/>
      <c r="C22" s="142">
        <f>SUM(C18:C21)</f>
        <v>0</v>
      </c>
      <c r="D22" s="121">
        <f t="shared" ref="D22" si="2">SUM(D18:D21)</f>
        <v>0</v>
      </c>
      <c r="E22" s="758">
        <f t="shared" ref="E22:N22" si="3">SUM(E18:E21)</f>
        <v>40005004.799999997</v>
      </c>
      <c r="F22" s="758">
        <f t="shared" si="3"/>
        <v>1188386.496</v>
      </c>
      <c r="G22" s="758">
        <f t="shared" si="3"/>
        <v>0</v>
      </c>
      <c r="H22" s="753">
        <f t="shared" si="3"/>
        <v>2621813.0563439997</v>
      </c>
      <c r="I22" s="753">
        <f t="shared" si="3"/>
        <v>2674249.3174708802</v>
      </c>
      <c r="J22" s="753">
        <f t="shared" si="3"/>
        <v>0</v>
      </c>
      <c r="K22" s="748">
        <f t="shared" si="3"/>
        <v>410591.94847289688</v>
      </c>
      <c r="L22" s="748">
        <f t="shared" si="3"/>
        <v>418803.78744235478</v>
      </c>
      <c r="M22" s="748">
        <f t="shared" si="3"/>
        <v>0</v>
      </c>
      <c r="N22" s="748">
        <f t="shared" si="3"/>
        <v>0</v>
      </c>
      <c r="O22" s="21"/>
    </row>
    <row r="23" spans="1:15" ht="18" customHeight="1" x14ac:dyDescent="0.2">
      <c r="A23" s="103" t="s">
        <v>10</v>
      </c>
      <c r="B23" s="10"/>
      <c r="C23" s="143">
        <f t="shared" ref="C23:N23" si="4">C16+C22</f>
        <v>0</v>
      </c>
      <c r="D23" s="122">
        <f t="shared" si="4"/>
        <v>0</v>
      </c>
      <c r="E23" s="109">
        <f t="shared" si="4"/>
        <v>40696525.529999994</v>
      </c>
      <c r="F23" s="109">
        <f t="shared" si="4"/>
        <v>1893737.6406</v>
      </c>
      <c r="G23" s="109">
        <f t="shared" si="4"/>
        <v>0</v>
      </c>
      <c r="H23" s="112">
        <f t="shared" si="4"/>
        <v>3146608.0451391116</v>
      </c>
      <c r="I23" s="112">
        <f t="shared" si="4"/>
        <v>3209540.2060418944</v>
      </c>
      <c r="J23" s="112">
        <f t="shared" si="4"/>
        <v>0</v>
      </c>
      <c r="K23" s="115">
        <f t="shared" si="4"/>
        <v>678499.44726447132</v>
      </c>
      <c r="L23" s="115">
        <f t="shared" si="4"/>
        <v>692069.43620976072</v>
      </c>
      <c r="M23" s="115">
        <f t="shared" si="4"/>
        <v>0</v>
      </c>
      <c r="N23" s="130">
        <f t="shared" si="4"/>
        <v>0</v>
      </c>
      <c r="O23" s="21"/>
    </row>
    <row r="24" spans="1:15" ht="14.1" customHeight="1" thickBot="1" x14ac:dyDescent="0.25">
      <c r="A24" s="104" t="s">
        <v>55</v>
      </c>
      <c r="B24" s="105"/>
      <c r="C24" s="144">
        <f>C23+NPV(B28,D23:N23)</f>
        <v>40333751.530930482</v>
      </c>
      <c r="D24" s="131"/>
      <c r="E24" s="132"/>
      <c r="F24" s="132"/>
      <c r="G24" s="132"/>
      <c r="H24" s="133"/>
      <c r="I24" s="133"/>
      <c r="J24" s="133"/>
      <c r="K24" s="134"/>
      <c r="L24" s="134"/>
      <c r="M24" s="134"/>
      <c r="N24" s="135"/>
      <c r="O24" s="21"/>
    </row>
    <row r="25" spans="1:15" ht="18" customHeight="1" x14ac:dyDescent="0.2">
      <c r="O25" s="21"/>
    </row>
    <row r="26" spans="1:15" x14ac:dyDescent="0.2">
      <c r="A26" s="21"/>
      <c r="O26" s="21"/>
    </row>
    <row r="27" spans="1:15" ht="13.5" thickBot="1" x14ac:dyDescent="0.25">
      <c r="A27" s="2" t="s">
        <v>16</v>
      </c>
      <c r="B27" s="2" t="s">
        <v>123</v>
      </c>
      <c r="C27" s="614" t="s">
        <v>295</v>
      </c>
      <c r="O27" s="21"/>
    </row>
    <row r="28" spans="1:15" x14ac:dyDescent="0.2">
      <c r="A28" s="99" t="s">
        <v>119</v>
      </c>
      <c r="B28" s="983">
        <v>0.09</v>
      </c>
      <c r="C28" s="984"/>
      <c r="O28" s="21"/>
    </row>
    <row r="29" spans="1:15" x14ac:dyDescent="0.2">
      <c r="A29" s="823" t="s">
        <v>120</v>
      </c>
      <c r="B29" s="158">
        <v>20</v>
      </c>
      <c r="C29" s="985">
        <v>0</v>
      </c>
    </row>
    <row r="30" spans="1:15" x14ac:dyDescent="0.2">
      <c r="A30" s="823" t="s">
        <v>75</v>
      </c>
      <c r="B30" s="158">
        <v>20</v>
      </c>
      <c r="C30" s="985">
        <v>0</v>
      </c>
      <c r="O30" s="21"/>
    </row>
    <row r="31" spans="1:15" x14ac:dyDescent="0.2">
      <c r="A31" s="823" t="s">
        <v>76</v>
      </c>
      <c r="B31" s="158">
        <v>20</v>
      </c>
      <c r="C31" s="985">
        <v>5.5E-2</v>
      </c>
      <c r="O31" s="21"/>
    </row>
    <row r="32" spans="1:15" x14ac:dyDescent="0.2">
      <c r="A32" s="823" t="s">
        <v>77</v>
      </c>
      <c r="B32" s="158">
        <v>20</v>
      </c>
      <c r="C32" s="985">
        <v>9.5000000000000001E-2</v>
      </c>
      <c r="O32" s="21"/>
    </row>
    <row r="33" spans="1:15" x14ac:dyDescent="0.2">
      <c r="A33" s="823" t="s">
        <v>78</v>
      </c>
      <c r="B33" s="158">
        <v>20</v>
      </c>
      <c r="C33" s="985">
        <v>2.2499999999999999E-2</v>
      </c>
      <c r="O33" s="21"/>
    </row>
    <row r="34" spans="1:15" x14ac:dyDescent="0.2">
      <c r="A34" s="823" t="s">
        <v>79</v>
      </c>
      <c r="B34" s="158">
        <v>20</v>
      </c>
      <c r="C34" s="985">
        <v>0.09</v>
      </c>
      <c r="O34" s="21"/>
    </row>
    <row r="35" spans="1:15" x14ac:dyDescent="0.2">
      <c r="A35" s="823" t="s">
        <v>53</v>
      </c>
      <c r="B35" s="158">
        <v>20</v>
      </c>
      <c r="C35" s="985">
        <v>0</v>
      </c>
      <c r="O35" s="21"/>
    </row>
    <row r="36" spans="1:15" x14ac:dyDescent="0.2">
      <c r="A36" s="988" t="s">
        <v>121</v>
      </c>
      <c r="B36" s="158">
        <v>20</v>
      </c>
      <c r="C36" s="985">
        <v>0.5</v>
      </c>
      <c r="O36" s="21"/>
    </row>
    <row r="37" spans="1:15" x14ac:dyDescent="0.2">
      <c r="A37" s="988" t="s">
        <v>122</v>
      </c>
      <c r="B37" s="158">
        <v>1</v>
      </c>
      <c r="C37" s="985">
        <v>0</v>
      </c>
      <c r="O37" s="21"/>
    </row>
    <row r="38" spans="1:15" x14ac:dyDescent="0.2">
      <c r="A38" s="990" t="s">
        <v>302</v>
      </c>
      <c r="B38" s="157">
        <v>120</v>
      </c>
      <c r="C38" s="991">
        <v>1</v>
      </c>
      <c r="O38" s="21"/>
    </row>
    <row r="39" spans="1:15" ht="13.5" thickBot="1" x14ac:dyDescent="0.25">
      <c r="A39" s="986" t="s">
        <v>303</v>
      </c>
      <c r="B39" s="989">
        <v>200</v>
      </c>
      <c r="C39" s="987">
        <v>1</v>
      </c>
      <c r="O39" s="21"/>
    </row>
    <row r="40" spans="1:15" x14ac:dyDescent="0.2">
      <c r="O40" s="21"/>
    </row>
    <row r="41" spans="1:15" x14ac:dyDescent="0.2">
      <c r="A41" s="1" t="s">
        <v>304</v>
      </c>
      <c r="O41" s="21"/>
    </row>
    <row r="42" spans="1:15" x14ac:dyDescent="0.2">
      <c r="O42" s="21"/>
    </row>
    <row r="43" spans="1:15" x14ac:dyDescent="0.2">
      <c r="O43" s="21"/>
    </row>
  </sheetData>
  <mergeCells count="11">
    <mergeCell ref="A7:A8"/>
    <mergeCell ref="A9:A10"/>
    <mergeCell ref="A11:B11"/>
    <mergeCell ref="A12:B12"/>
    <mergeCell ref="A16:B16"/>
    <mergeCell ref="A18:B18"/>
    <mergeCell ref="A21:B21"/>
    <mergeCell ref="A22:B22"/>
    <mergeCell ref="A13:B13"/>
    <mergeCell ref="A14:B14"/>
    <mergeCell ref="A15:B15"/>
  </mergeCells>
  <phoneticPr fontId="2" type="noConversion"/>
  <pageMargins left="0.5" right="0.5" top="1" bottom="0.5" header="0.5" footer="0.5"/>
  <pageSetup orientation="landscape" r:id="rId1"/>
  <headerFooter alignWithMargins="0">
    <oddHeader>&amp;L&amp;"Arial,Bold"1. Infrastructure Costs by Year, Allocated by Use Types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zoomScaleNormal="100" workbookViewId="0">
      <selection activeCell="I38" sqref="I38"/>
    </sheetView>
  </sheetViews>
  <sheetFormatPr defaultColWidth="9.140625" defaultRowHeight="12.75" x14ac:dyDescent="0.2"/>
  <cols>
    <col min="1" max="1" width="23.28515625" style="1" customWidth="1"/>
    <col min="2" max="3" width="14.7109375" style="3" customWidth="1"/>
    <col min="4" max="13" width="14.7109375" style="1" customWidth="1"/>
    <col min="14" max="16384" width="9.140625" style="1"/>
  </cols>
  <sheetData>
    <row r="1" spans="1:14" ht="14.1" customHeight="1" x14ac:dyDescent="0.25">
      <c r="A1" s="92" t="s">
        <v>71</v>
      </c>
      <c r="B1" s="94">
        <v>198923</v>
      </c>
      <c r="L1" s="38" t="s">
        <v>71</v>
      </c>
      <c r="M1" s="39">
        <v>198923</v>
      </c>
    </row>
    <row r="2" spans="1:14" ht="14.1" customHeight="1" thickBot="1" x14ac:dyDescent="0.25">
      <c r="A2" s="46"/>
      <c r="B2" s="48"/>
      <c r="C2" s="48">
        <v>0</v>
      </c>
      <c r="D2" s="46">
        <v>1</v>
      </c>
      <c r="E2" s="48">
        <v>2</v>
      </c>
      <c r="F2" s="46">
        <v>3</v>
      </c>
      <c r="G2" s="48">
        <v>4</v>
      </c>
      <c r="H2" s="46">
        <v>5</v>
      </c>
      <c r="I2" s="48">
        <v>6</v>
      </c>
      <c r="J2" s="46">
        <v>7</v>
      </c>
      <c r="K2" s="48">
        <v>8</v>
      </c>
      <c r="L2" s="46">
        <v>9</v>
      </c>
      <c r="M2" s="48">
        <v>10</v>
      </c>
    </row>
    <row r="3" spans="1:14" ht="14.1" customHeight="1" x14ac:dyDescent="0.2">
      <c r="A3" s="46"/>
      <c r="B3" s="137"/>
      <c r="C3" s="126" t="s">
        <v>100</v>
      </c>
      <c r="D3" s="127" t="s">
        <v>56</v>
      </c>
      <c r="E3" s="128"/>
      <c r="F3" s="127"/>
      <c r="G3" s="127" t="s">
        <v>124</v>
      </c>
      <c r="H3" s="127"/>
      <c r="I3" s="127"/>
      <c r="J3" s="127" t="s">
        <v>125</v>
      </c>
      <c r="K3" s="127"/>
      <c r="L3" s="127"/>
      <c r="M3" s="129"/>
    </row>
    <row r="4" spans="1:14" ht="14.1" customHeight="1" x14ac:dyDescent="0.2">
      <c r="A4" s="44"/>
      <c r="B4" s="147" t="s">
        <v>28</v>
      </c>
      <c r="C4" s="148" t="s">
        <v>118</v>
      </c>
      <c r="D4" s="149">
        <v>2021</v>
      </c>
      <c r="E4" s="106">
        <f>D4+1</f>
        <v>2022</v>
      </c>
      <c r="F4" s="106">
        <f t="shared" ref="F4:M4" si="0">E4+1</f>
        <v>2023</v>
      </c>
      <c r="G4" s="106">
        <f t="shared" si="0"/>
        <v>2024</v>
      </c>
      <c r="H4" s="106">
        <f t="shared" si="0"/>
        <v>2025</v>
      </c>
      <c r="I4" s="106">
        <f t="shared" si="0"/>
        <v>2026</v>
      </c>
      <c r="J4" s="106">
        <f t="shared" si="0"/>
        <v>2027</v>
      </c>
      <c r="K4" s="106">
        <f t="shared" si="0"/>
        <v>2028</v>
      </c>
      <c r="L4" s="106">
        <f t="shared" si="0"/>
        <v>2029</v>
      </c>
      <c r="M4" s="150">
        <f t="shared" si="0"/>
        <v>2030</v>
      </c>
      <c r="N4" s="1" t="s">
        <v>243</v>
      </c>
    </row>
    <row r="5" spans="1:14" ht="18" customHeight="1" x14ac:dyDescent="0.2">
      <c r="A5" s="42" t="s">
        <v>11</v>
      </c>
      <c r="B5" s="303"/>
      <c r="C5" s="211"/>
      <c r="D5" s="276"/>
      <c r="E5" s="276"/>
      <c r="F5" s="276"/>
      <c r="G5" s="282"/>
      <c r="H5" s="282"/>
      <c r="I5" s="282"/>
      <c r="J5" s="288"/>
      <c r="K5" s="288"/>
      <c r="L5" s="288"/>
      <c r="M5" s="288"/>
    </row>
    <row r="6" spans="1:14" x14ac:dyDescent="0.2">
      <c r="A6" s="25" t="s">
        <v>12</v>
      </c>
      <c r="B6" s="304">
        <v>0.02</v>
      </c>
      <c r="C6" s="294">
        <f>1+B6</f>
        <v>1.02</v>
      </c>
      <c r="D6" s="277">
        <f>C6*(1+$B$6)</f>
        <v>1.0404</v>
      </c>
      <c r="E6" s="277">
        <f t="shared" ref="E6:M6" si="1">D6*(1+$B$6)</f>
        <v>1.0612079999999999</v>
      </c>
      <c r="F6" s="277">
        <f t="shared" si="1"/>
        <v>1.08243216</v>
      </c>
      <c r="G6" s="283">
        <f t="shared" si="1"/>
        <v>1.1040808032</v>
      </c>
      <c r="H6" s="283">
        <f t="shared" si="1"/>
        <v>1.1261624192640001</v>
      </c>
      <c r="I6" s="283">
        <f t="shared" si="1"/>
        <v>1.14868566764928</v>
      </c>
      <c r="J6" s="289">
        <f t="shared" si="1"/>
        <v>1.1716593810022657</v>
      </c>
      <c r="K6" s="289">
        <f t="shared" si="1"/>
        <v>1.1950925686223111</v>
      </c>
      <c r="L6" s="289">
        <f t="shared" si="1"/>
        <v>1.2189944199947573</v>
      </c>
      <c r="M6" s="289">
        <f t="shared" si="1"/>
        <v>1.2433743083946525</v>
      </c>
    </row>
    <row r="7" spans="1:14" ht="14.1" customHeight="1" x14ac:dyDescent="0.2">
      <c r="A7" s="25" t="s">
        <v>139</v>
      </c>
      <c r="B7" s="305"/>
      <c r="C7" s="295">
        <f>'Development Schedule'!D34/$B$9</f>
        <v>0</v>
      </c>
      <c r="D7" s="278">
        <f>'Development Schedule'!E34/$B$9</f>
        <v>93.676883949880661</v>
      </c>
      <c r="E7" s="278">
        <f>'Development Schedule'!F34/$B$9</f>
        <v>93.676883949880661</v>
      </c>
      <c r="F7" s="278">
        <f>'Development Schedule'!G34/$B$9</f>
        <v>0</v>
      </c>
      <c r="G7" s="284">
        <f>'Development Schedule'!H34/$B$9</f>
        <v>81.514237768496415</v>
      </c>
      <c r="H7" s="284">
        <f>'Development Schedule'!I34/$B$9</f>
        <v>81.514237768496415</v>
      </c>
      <c r="I7" s="284">
        <f>'Development Schedule'!J34/$B$9</f>
        <v>0</v>
      </c>
      <c r="J7" s="290">
        <f>'Development Schedule'!K34/$B$9</f>
        <v>17.676461813842479</v>
      </c>
      <c r="K7" s="290">
        <f>'Development Schedule'!L34/$B$9</f>
        <v>17.676461813842479</v>
      </c>
      <c r="L7" s="290">
        <f>'Development Schedule'!M34/$B$9</f>
        <v>0</v>
      </c>
      <c r="M7" s="290">
        <f>'Development Schedule'!N34/$B$9</f>
        <v>0</v>
      </c>
    </row>
    <row r="8" spans="1:14" ht="14.1" customHeight="1" x14ac:dyDescent="0.2">
      <c r="A8" s="25" t="s">
        <v>57</v>
      </c>
      <c r="B8" s="306"/>
      <c r="C8" s="296">
        <f>SUM(C7)</f>
        <v>0</v>
      </c>
      <c r="D8" s="172">
        <f>SUM($C$7:D7)</f>
        <v>93.676883949880661</v>
      </c>
      <c r="E8" s="172">
        <f>SUM($C$7:E7)</f>
        <v>187.35376789976132</v>
      </c>
      <c r="F8" s="172">
        <f>SUM($C$7:F7)</f>
        <v>187.35376789976132</v>
      </c>
      <c r="G8" s="198">
        <f>SUM($C$7:G7)</f>
        <v>268.86800566825775</v>
      </c>
      <c r="H8" s="198">
        <f>SUM($C$7:H7)</f>
        <v>350.38224343675415</v>
      </c>
      <c r="I8" s="198">
        <f>SUM($C$7:I7)</f>
        <v>350.38224343675415</v>
      </c>
      <c r="J8" s="185">
        <f>SUM($C$7:J7)</f>
        <v>368.05870525059663</v>
      </c>
      <c r="K8" s="185">
        <f>SUM($C$7:K7)</f>
        <v>385.73516706443911</v>
      </c>
      <c r="L8" s="185">
        <f>SUM($C$7:L7)</f>
        <v>385.73516706443911</v>
      </c>
      <c r="M8" s="185">
        <f>SUM($C$7:M7)</f>
        <v>385.73516706443911</v>
      </c>
    </row>
    <row r="9" spans="1:14" ht="14.1" customHeight="1" x14ac:dyDescent="0.2">
      <c r="A9" s="25" t="s">
        <v>58</v>
      </c>
      <c r="B9" s="307">
        <v>838</v>
      </c>
      <c r="C9" s="212"/>
      <c r="D9" s="173"/>
      <c r="E9" s="173"/>
      <c r="F9" s="173"/>
      <c r="G9" s="199"/>
      <c r="H9" s="199"/>
      <c r="I9" s="199"/>
      <c r="J9" s="186"/>
      <c r="K9" s="186"/>
      <c r="L9" s="186"/>
      <c r="M9" s="186"/>
    </row>
    <row r="10" spans="1:14" ht="14.1" customHeight="1" x14ac:dyDescent="0.2">
      <c r="A10" s="25" t="s">
        <v>59</v>
      </c>
      <c r="B10" s="306"/>
      <c r="C10" s="213">
        <f>C8*$B$9</f>
        <v>0</v>
      </c>
      <c r="D10" s="174">
        <f t="shared" ref="D10:M10" si="2">D8*$B$9</f>
        <v>78501.228749999995</v>
      </c>
      <c r="E10" s="174">
        <f t="shared" si="2"/>
        <v>157002.45749999999</v>
      </c>
      <c r="F10" s="174">
        <f t="shared" si="2"/>
        <v>157002.45749999999</v>
      </c>
      <c r="G10" s="200">
        <f t="shared" si="2"/>
        <v>225311.38874999998</v>
      </c>
      <c r="H10" s="200">
        <f t="shared" si="2"/>
        <v>293620.32</v>
      </c>
      <c r="I10" s="200">
        <f t="shared" si="2"/>
        <v>293620.32</v>
      </c>
      <c r="J10" s="187">
        <f t="shared" si="2"/>
        <v>308433.19499999995</v>
      </c>
      <c r="K10" s="187">
        <f t="shared" si="2"/>
        <v>323246.06999999995</v>
      </c>
      <c r="L10" s="187">
        <f t="shared" si="2"/>
        <v>323246.06999999995</v>
      </c>
      <c r="M10" s="187">
        <f t="shared" si="2"/>
        <v>323246.06999999995</v>
      </c>
    </row>
    <row r="11" spans="1:14" ht="14.1" customHeight="1" x14ac:dyDescent="0.2">
      <c r="A11" s="25" t="s">
        <v>140</v>
      </c>
      <c r="B11" s="306"/>
      <c r="C11" s="214">
        <f>C8*C13</f>
        <v>0</v>
      </c>
      <c r="D11" s="175">
        <f t="shared" ref="D11:M11" si="3">D8*D13</f>
        <v>88.993039752386622</v>
      </c>
      <c r="E11" s="175">
        <f t="shared" si="3"/>
        <v>177.98607950477324</v>
      </c>
      <c r="F11" s="175">
        <f t="shared" si="3"/>
        <v>177.98607950477324</v>
      </c>
      <c r="G11" s="201">
        <f t="shared" si="3"/>
        <v>255.42460538484485</v>
      </c>
      <c r="H11" s="201">
        <f t="shared" si="3"/>
        <v>332.86313126491643</v>
      </c>
      <c r="I11" s="201">
        <f t="shared" si="3"/>
        <v>332.86313126491643</v>
      </c>
      <c r="J11" s="188">
        <f t="shared" si="3"/>
        <v>349.65576998806677</v>
      </c>
      <c r="K11" s="188">
        <f t="shared" si="3"/>
        <v>366.44840871121716</v>
      </c>
      <c r="L11" s="188">
        <f t="shared" si="3"/>
        <v>366.44840871121716</v>
      </c>
      <c r="M11" s="188">
        <f t="shared" si="3"/>
        <v>366.44840871121716</v>
      </c>
    </row>
    <row r="12" spans="1:14" ht="18" customHeight="1" x14ac:dyDescent="0.2">
      <c r="A12" s="25" t="s">
        <v>60</v>
      </c>
      <c r="B12" s="307">
        <v>1.88</v>
      </c>
      <c r="C12" s="297">
        <f>$B$12*((1+$B$6)^C2)</f>
        <v>1.88</v>
      </c>
      <c r="D12" s="176">
        <f>$C$12*((1+$B$6)^D2)</f>
        <v>1.9176</v>
      </c>
      <c r="E12" s="176">
        <f t="shared" ref="E12:M12" si="4">$C$12*((1+$B$6)^E2)</f>
        <v>1.9559519999999999</v>
      </c>
      <c r="F12" s="176">
        <f t="shared" si="4"/>
        <v>1.9950710399999998</v>
      </c>
      <c r="G12" s="202">
        <f t="shared" si="4"/>
        <v>2.0349724607999997</v>
      </c>
      <c r="H12" s="202">
        <f t="shared" si="4"/>
        <v>2.0756719100159997</v>
      </c>
      <c r="I12" s="202">
        <f t="shared" si="4"/>
        <v>2.1171853482163199</v>
      </c>
      <c r="J12" s="189">
        <f t="shared" si="4"/>
        <v>2.1595290551806459</v>
      </c>
      <c r="K12" s="189">
        <f t="shared" si="4"/>
        <v>2.2027196362842592</v>
      </c>
      <c r="L12" s="189">
        <f t="shared" si="4"/>
        <v>2.2467740290099441</v>
      </c>
      <c r="M12" s="189">
        <f t="shared" si="4"/>
        <v>2.2917095095901434</v>
      </c>
    </row>
    <row r="13" spans="1:14" ht="14.1" customHeight="1" thickBot="1" x14ac:dyDescent="0.25">
      <c r="A13" s="36" t="s">
        <v>61</v>
      </c>
      <c r="B13" s="308">
        <v>0.95</v>
      </c>
      <c r="C13" s="298">
        <f>$B$13</f>
        <v>0.95</v>
      </c>
      <c r="D13" s="184">
        <f t="shared" ref="D13:M13" si="5">$B$13</f>
        <v>0.95</v>
      </c>
      <c r="E13" s="184">
        <f t="shared" si="5"/>
        <v>0.95</v>
      </c>
      <c r="F13" s="184">
        <f t="shared" si="5"/>
        <v>0.95</v>
      </c>
      <c r="G13" s="203">
        <f t="shared" si="5"/>
        <v>0.95</v>
      </c>
      <c r="H13" s="203">
        <f t="shared" si="5"/>
        <v>0.95</v>
      </c>
      <c r="I13" s="203">
        <f t="shared" si="5"/>
        <v>0.95</v>
      </c>
      <c r="J13" s="190">
        <f t="shared" si="5"/>
        <v>0.95</v>
      </c>
      <c r="K13" s="190">
        <f t="shared" si="5"/>
        <v>0.95</v>
      </c>
      <c r="L13" s="190">
        <f t="shared" si="5"/>
        <v>0.95</v>
      </c>
      <c r="M13" s="190">
        <f t="shared" si="5"/>
        <v>0.95</v>
      </c>
    </row>
    <row r="14" spans="1:14" ht="14.1" customHeight="1" x14ac:dyDescent="0.2">
      <c r="A14" s="42" t="s">
        <v>0</v>
      </c>
      <c r="B14" s="309"/>
      <c r="C14" s="215"/>
      <c r="D14" s="177"/>
      <c r="E14" s="177"/>
      <c r="F14" s="177"/>
      <c r="G14" s="204"/>
      <c r="H14" s="204"/>
      <c r="I14" s="204"/>
      <c r="J14" s="191"/>
      <c r="K14" s="191"/>
      <c r="L14" s="191"/>
      <c r="M14" s="191"/>
    </row>
    <row r="15" spans="1:14" ht="14.1" customHeight="1" x14ac:dyDescent="0.2">
      <c r="A15" s="25" t="s">
        <v>13</v>
      </c>
      <c r="B15" s="310"/>
      <c r="C15" s="216">
        <f>C12*$B$9*C11*12</f>
        <v>0</v>
      </c>
      <c r="D15" s="178">
        <f>D12*$B$9*D11*12</f>
        <v>1716087.1012613997</v>
      </c>
      <c r="E15" s="178">
        <f t="shared" ref="E15:M15" si="6">E12*$B$9*E11*12</f>
        <v>3500817.6865732549</v>
      </c>
      <c r="F15" s="178">
        <f t="shared" si="6"/>
        <v>3570834.0403047204</v>
      </c>
      <c r="G15" s="205">
        <f t="shared" si="6"/>
        <v>5226928.1718037222</v>
      </c>
      <c r="H15" s="205">
        <f t="shared" si="6"/>
        <v>6947837.734946562</v>
      </c>
      <c r="I15" s="205">
        <f t="shared" si="6"/>
        <v>7086794.4896454941</v>
      </c>
      <c r="J15" s="192">
        <f t="shared" si="6"/>
        <v>7593203.0865055546</v>
      </c>
      <c r="K15" s="192">
        <f t="shared" si="6"/>
        <v>8117033.3094441639</v>
      </c>
      <c r="L15" s="192">
        <f t="shared" si="6"/>
        <v>8279373.9756330457</v>
      </c>
      <c r="M15" s="192">
        <f t="shared" si="6"/>
        <v>8444961.4551457092</v>
      </c>
    </row>
    <row r="16" spans="1:14" ht="18" customHeight="1" x14ac:dyDescent="0.2">
      <c r="A16" s="25" t="s">
        <v>62</v>
      </c>
      <c r="B16" s="311">
        <v>0.28000000000000003</v>
      </c>
      <c r="C16" s="216">
        <f>C15*(-$B$16)</f>
        <v>0</v>
      </c>
      <c r="D16" s="178">
        <f t="shared" ref="D16:M16" si="7">D15*(-$B$16)</f>
        <v>-480504.38835319196</v>
      </c>
      <c r="E16" s="178">
        <f t="shared" si="7"/>
        <v>-980228.95224051143</v>
      </c>
      <c r="F16" s="178">
        <f t="shared" si="7"/>
        <v>-999833.53128532181</v>
      </c>
      <c r="G16" s="205">
        <f t="shared" si="7"/>
        <v>-1463539.8881050423</v>
      </c>
      <c r="H16" s="205">
        <f t="shared" si="7"/>
        <v>-1945394.5657850376</v>
      </c>
      <c r="I16" s="205">
        <f t="shared" si="7"/>
        <v>-1984302.4571007385</v>
      </c>
      <c r="J16" s="192">
        <f t="shared" si="7"/>
        <v>-2126096.8642215556</v>
      </c>
      <c r="K16" s="192">
        <f t="shared" si="7"/>
        <v>-2272769.3266443661</v>
      </c>
      <c r="L16" s="192">
        <f t="shared" si="7"/>
        <v>-2318224.713177253</v>
      </c>
      <c r="M16" s="192">
        <f t="shared" si="7"/>
        <v>-2364589.2074407986</v>
      </c>
    </row>
    <row r="17" spans="1:14" ht="18" customHeight="1" x14ac:dyDescent="0.2">
      <c r="A17" s="49" t="s">
        <v>5</v>
      </c>
      <c r="B17" s="312"/>
      <c r="C17" s="217">
        <f>SUM(C15:C16)</f>
        <v>0</v>
      </c>
      <c r="D17" s="179">
        <f t="shared" ref="D17:M17" si="8">SUM(D15:D16)</f>
        <v>1235582.7129082077</v>
      </c>
      <c r="E17" s="179">
        <f t="shared" si="8"/>
        <v>2520588.7343327436</v>
      </c>
      <c r="F17" s="179">
        <f>SUM(F15:F16)</f>
        <v>2571000.5090193986</v>
      </c>
      <c r="G17" s="206">
        <f t="shared" si="8"/>
        <v>3763388.2836986799</v>
      </c>
      <c r="H17" s="206">
        <f t="shared" si="8"/>
        <v>5002443.1691615246</v>
      </c>
      <c r="I17" s="206">
        <f t="shared" si="8"/>
        <v>5102492.0325447554</v>
      </c>
      <c r="J17" s="193">
        <f t="shared" si="8"/>
        <v>5467106.2222839985</v>
      </c>
      <c r="K17" s="193">
        <f t="shared" si="8"/>
        <v>5844263.9827997983</v>
      </c>
      <c r="L17" s="193">
        <f t="shared" si="8"/>
        <v>5961149.2624557931</v>
      </c>
      <c r="M17" s="193">
        <f t="shared" si="8"/>
        <v>6080372.2477049101</v>
      </c>
    </row>
    <row r="18" spans="1:14" ht="14.1" customHeight="1" x14ac:dyDescent="0.2">
      <c r="A18" s="42" t="s">
        <v>2</v>
      </c>
      <c r="B18" s="309"/>
      <c r="C18" s="215"/>
      <c r="D18" s="177"/>
      <c r="E18" s="177"/>
      <c r="F18" s="177"/>
      <c r="G18" s="204"/>
      <c r="H18" s="204"/>
      <c r="I18" s="204"/>
      <c r="J18" s="191"/>
      <c r="K18" s="191"/>
      <c r="L18" s="191"/>
      <c r="M18" s="191"/>
    </row>
    <row r="19" spans="1:14" ht="14.1" customHeight="1" x14ac:dyDescent="0.2">
      <c r="A19" s="25" t="s">
        <v>14</v>
      </c>
      <c r="B19" s="310"/>
      <c r="C19" s="218">
        <f>C21/$N$21</f>
        <v>0</v>
      </c>
      <c r="D19" s="180">
        <f t="shared" ref="D19:M19" si="9">D21/$N$21</f>
        <v>0.23177263990550057</v>
      </c>
      <c r="E19" s="180">
        <f t="shared" si="9"/>
        <v>0.2364080927036106</v>
      </c>
      <c r="F19" s="180">
        <f t="shared" si="9"/>
        <v>0</v>
      </c>
      <c r="G19" s="207">
        <f t="shared" si="9"/>
        <v>0.21402461208166146</v>
      </c>
      <c r="H19" s="207">
        <f t="shared" si="9"/>
        <v>0.2183051043232947</v>
      </c>
      <c r="I19" s="207">
        <f t="shared" si="9"/>
        <v>0</v>
      </c>
      <c r="J19" s="194">
        <f t="shared" si="9"/>
        <v>4.9252252963332979E-2</v>
      </c>
      <c r="K19" s="194">
        <f t="shared" si="9"/>
        <v>5.0237298022599651E-2</v>
      </c>
      <c r="L19" s="194">
        <f t="shared" si="9"/>
        <v>0</v>
      </c>
      <c r="M19" s="194">
        <f t="shared" si="9"/>
        <v>0</v>
      </c>
    </row>
    <row r="20" spans="1:14" ht="14.1" customHeight="1" x14ac:dyDescent="0.2">
      <c r="A20" s="25" t="s">
        <v>141</v>
      </c>
      <c r="B20" s="313">
        <v>200</v>
      </c>
      <c r="C20" s="299">
        <f>$B$20*((1+$B$6)^C2)</f>
        <v>200</v>
      </c>
      <c r="D20" s="108">
        <f>$B$20*((1+$B$6)^D2)</f>
        <v>204</v>
      </c>
      <c r="E20" s="108">
        <f t="shared" ref="E20:M20" si="10">$B$20*((1+$B$6)^E2)</f>
        <v>208.07999999999998</v>
      </c>
      <c r="F20" s="108">
        <f t="shared" si="10"/>
        <v>212.24159999999998</v>
      </c>
      <c r="G20" s="111">
        <f t="shared" si="10"/>
        <v>216.48643200000001</v>
      </c>
      <c r="H20" s="111">
        <f t="shared" si="10"/>
        <v>220.81616063999999</v>
      </c>
      <c r="I20" s="111">
        <f t="shared" si="10"/>
        <v>225.23248385280002</v>
      </c>
      <c r="J20" s="114">
        <f t="shared" si="10"/>
        <v>229.73713352985595</v>
      </c>
      <c r="K20" s="114">
        <f t="shared" si="10"/>
        <v>234.33187620045311</v>
      </c>
      <c r="L20" s="114">
        <f t="shared" si="10"/>
        <v>239.01851372446217</v>
      </c>
      <c r="M20" s="114">
        <f t="shared" si="10"/>
        <v>243.79888399895142</v>
      </c>
    </row>
    <row r="21" spans="1:14" ht="14.1" customHeight="1" x14ac:dyDescent="0.2">
      <c r="A21" s="25" t="s">
        <v>2</v>
      </c>
      <c r="B21" s="314"/>
      <c r="C21" s="220">
        <f>C20*'Development Schedule'!D9</f>
        <v>0</v>
      </c>
      <c r="D21" s="107">
        <f>D20*'Development Schedule'!E9</f>
        <v>22877500.949999999</v>
      </c>
      <c r="E21" s="107">
        <f>E20*'Development Schedule'!F9</f>
        <v>23335050.969000001</v>
      </c>
      <c r="F21" s="107">
        <f>F20*'Development Schedule'!G9</f>
        <v>0</v>
      </c>
      <c r="G21" s="110">
        <f>G20*'Development Schedule'!H9</f>
        <v>21125652.571494002</v>
      </c>
      <c r="H21" s="110">
        <f>H20*'Development Schedule'!I9</f>
        <v>21548165.622923881</v>
      </c>
      <c r="I21" s="110">
        <f>I20*'Development Schedule'!J9</f>
        <v>0</v>
      </c>
      <c r="J21" s="113">
        <f>J20*'Development Schedule'!K9</f>
        <v>4861524.9169086646</v>
      </c>
      <c r="K21" s="113">
        <f>K20*'Development Schedule'!L9</f>
        <v>4958755.4152468387</v>
      </c>
      <c r="L21" s="113">
        <f>L20*'Development Schedule'!M9</f>
        <v>0</v>
      </c>
      <c r="M21" s="113">
        <f>M20*'Development Schedule'!N9</f>
        <v>0</v>
      </c>
      <c r="N21" s="1">
        <f>SUM(C21:M21)</f>
        <v>98706650.44557339</v>
      </c>
    </row>
    <row r="22" spans="1:14" ht="18" customHeight="1" x14ac:dyDescent="0.2">
      <c r="A22" s="25" t="s">
        <v>15</v>
      </c>
      <c r="B22" s="314"/>
      <c r="C22" s="220"/>
      <c r="D22" s="108"/>
      <c r="E22" s="108"/>
      <c r="F22" s="108"/>
      <c r="G22" s="111"/>
      <c r="H22" s="111"/>
      <c r="I22" s="111"/>
      <c r="J22" s="114"/>
      <c r="K22" s="114"/>
      <c r="L22" s="114"/>
      <c r="M22" s="114"/>
    </row>
    <row r="23" spans="1:14" ht="14.1" customHeight="1" x14ac:dyDescent="0.2">
      <c r="A23" s="49" t="s">
        <v>3</v>
      </c>
      <c r="B23" s="315"/>
      <c r="C23" s="300">
        <f>SUM(C21:C22)</f>
        <v>0</v>
      </c>
      <c r="D23" s="279">
        <f t="shared" ref="D23:M23" si="11">SUM(D21:D22)</f>
        <v>22877500.949999999</v>
      </c>
      <c r="E23" s="279">
        <f t="shared" si="11"/>
        <v>23335050.969000001</v>
      </c>
      <c r="F23" s="279">
        <f t="shared" si="11"/>
        <v>0</v>
      </c>
      <c r="G23" s="285">
        <f t="shared" si="11"/>
        <v>21125652.571494002</v>
      </c>
      <c r="H23" s="285">
        <f t="shared" si="11"/>
        <v>21548165.622923881</v>
      </c>
      <c r="I23" s="285">
        <f t="shared" si="11"/>
        <v>0</v>
      </c>
      <c r="J23" s="291">
        <f t="shared" si="11"/>
        <v>4861524.9169086646</v>
      </c>
      <c r="K23" s="291">
        <f t="shared" si="11"/>
        <v>4958755.4152468387</v>
      </c>
      <c r="L23" s="291">
        <f t="shared" si="11"/>
        <v>0</v>
      </c>
      <c r="M23" s="291">
        <f t="shared" si="11"/>
        <v>0</v>
      </c>
    </row>
    <row r="24" spans="1:14" ht="14.1" customHeight="1" x14ac:dyDescent="0.2">
      <c r="A24" s="42" t="s">
        <v>4</v>
      </c>
      <c r="B24" s="309"/>
      <c r="C24" s="215"/>
      <c r="D24" s="177"/>
      <c r="E24" s="177"/>
      <c r="F24" s="177"/>
      <c r="G24" s="204"/>
      <c r="H24" s="204"/>
      <c r="I24" s="204"/>
      <c r="J24" s="191"/>
      <c r="K24" s="191"/>
      <c r="L24" s="191"/>
      <c r="M24" s="191"/>
    </row>
    <row r="25" spans="1:14" ht="14.1" customHeight="1" x14ac:dyDescent="0.2">
      <c r="A25" s="25" t="s">
        <v>5</v>
      </c>
      <c r="B25" s="310"/>
      <c r="C25" s="220">
        <f>C17</f>
        <v>0</v>
      </c>
      <c r="D25" s="182">
        <f t="shared" ref="D25:M25" si="12">D17</f>
        <v>1235582.7129082077</v>
      </c>
      <c r="E25" s="182">
        <f t="shared" si="12"/>
        <v>2520588.7343327436</v>
      </c>
      <c r="F25" s="182">
        <f t="shared" si="12"/>
        <v>2571000.5090193986</v>
      </c>
      <c r="G25" s="209">
        <f t="shared" si="12"/>
        <v>3763388.2836986799</v>
      </c>
      <c r="H25" s="209">
        <f t="shared" si="12"/>
        <v>5002443.1691615246</v>
      </c>
      <c r="I25" s="209">
        <f t="shared" si="12"/>
        <v>5102492.0325447554</v>
      </c>
      <c r="J25" s="196">
        <f t="shared" si="12"/>
        <v>5467106.2222839985</v>
      </c>
      <c r="K25" s="196">
        <f t="shared" si="12"/>
        <v>5844263.9827997983</v>
      </c>
      <c r="L25" s="196">
        <f t="shared" si="12"/>
        <v>5961149.2624557931</v>
      </c>
      <c r="M25" s="196">
        <f t="shared" si="12"/>
        <v>6080372.2477049101</v>
      </c>
    </row>
    <row r="26" spans="1:14" ht="14.1" customHeight="1" x14ac:dyDescent="0.2">
      <c r="A26" s="159" t="s">
        <v>102</v>
      </c>
      <c r="B26" s="316">
        <v>3.7499999999999999E-2</v>
      </c>
      <c r="C26" s="221">
        <f>C25/$B$26</f>
        <v>0</v>
      </c>
      <c r="D26" s="183"/>
      <c r="E26" s="183"/>
      <c r="F26" s="183"/>
      <c r="G26" s="210"/>
      <c r="H26" s="210"/>
      <c r="I26" s="210"/>
      <c r="J26" s="197"/>
      <c r="K26" s="197"/>
      <c r="L26" s="197"/>
      <c r="M26" s="197">
        <f>M25/$B$26</f>
        <v>162143259.93879762</v>
      </c>
    </row>
    <row r="27" spans="1:14" ht="18" customHeight="1" x14ac:dyDescent="0.2">
      <c r="A27" s="159" t="s">
        <v>103</v>
      </c>
      <c r="B27" s="317">
        <v>0.03</v>
      </c>
      <c r="C27" s="222">
        <f>C26*(-$B$27)</f>
        <v>0</v>
      </c>
      <c r="D27" s="183">
        <f t="shared" ref="D27:M27" si="13">D26*(-$B$27)</f>
        <v>0</v>
      </c>
      <c r="E27" s="183">
        <f t="shared" si="13"/>
        <v>0</v>
      </c>
      <c r="F27" s="183">
        <f t="shared" si="13"/>
        <v>0</v>
      </c>
      <c r="G27" s="210">
        <f t="shared" si="13"/>
        <v>0</v>
      </c>
      <c r="H27" s="210">
        <f t="shared" si="13"/>
        <v>0</v>
      </c>
      <c r="I27" s="210">
        <f t="shared" si="13"/>
        <v>0</v>
      </c>
      <c r="J27" s="197">
        <f t="shared" si="13"/>
        <v>0</v>
      </c>
      <c r="K27" s="197">
        <f t="shared" si="13"/>
        <v>0</v>
      </c>
      <c r="L27" s="197">
        <f t="shared" si="13"/>
        <v>0</v>
      </c>
      <c r="M27" s="197">
        <f t="shared" si="13"/>
        <v>-4864297.7981639281</v>
      </c>
    </row>
    <row r="28" spans="1:14" ht="18" customHeight="1" x14ac:dyDescent="0.2">
      <c r="A28" s="49" t="s">
        <v>3</v>
      </c>
      <c r="B28" s="312"/>
      <c r="C28" s="219">
        <f>C23</f>
        <v>0</v>
      </c>
      <c r="D28" s="280">
        <f>-D23</f>
        <v>-22877500.949999999</v>
      </c>
      <c r="E28" s="280">
        <f t="shared" ref="E28:M28" si="14">-E23</f>
        <v>-23335050.969000001</v>
      </c>
      <c r="F28" s="280">
        <f t="shared" si="14"/>
        <v>0</v>
      </c>
      <c r="G28" s="286">
        <f t="shared" si="14"/>
        <v>-21125652.571494002</v>
      </c>
      <c r="H28" s="286">
        <f t="shared" si="14"/>
        <v>-21548165.622923881</v>
      </c>
      <c r="I28" s="286">
        <f t="shared" si="14"/>
        <v>0</v>
      </c>
      <c r="J28" s="292">
        <f t="shared" si="14"/>
        <v>-4861524.9169086646</v>
      </c>
      <c r="K28" s="292">
        <f t="shared" si="14"/>
        <v>-4958755.4152468387</v>
      </c>
      <c r="L28" s="292">
        <f t="shared" si="14"/>
        <v>0</v>
      </c>
      <c r="M28" s="292">
        <f t="shared" si="14"/>
        <v>0</v>
      </c>
    </row>
    <row r="29" spans="1:14" ht="18" customHeight="1" x14ac:dyDescent="0.2">
      <c r="A29" s="160" t="s">
        <v>6</v>
      </c>
      <c r="B29" s="318"/>
      <c r="C29" s="401">
        <f>SUM(C25:C28)</f>
        <v>0</v>
      </c>
      <c r="D29" s="395">
        <f t="shared" ref="D29:M29" si="15">SUM(D25:D28)</f>
        <v>-21641918.237091791</v>
      </c>
      <c r="E29" s="395">
        <f t="shared" si="15"/>
        <v>-20814462.234667256</v>
      </c>
      <c r="F29" s="395">
        <f t="shared" si="15"/>
        <v>2571000.5090193986</v>
      </c>
      <c r="G29" s="399">
        <f t="shared" si="15"/>
        <v>-17362264.28779532</v>
      </c>
      <c r="H29" s="399">
        <f t="shared" si="15"/>
        <v>-16545722.453762356</v>
      </c>
      <c r="I29" s="399">
        <f t="shared" si="15"/>
        <v>5102492.0325447554</v>
      </c>
      <c r="J29" s="397">
        <f t="shared" si="15"/>
        <v>605581.30537533388</v>
      </c>
      <c r="K29" s="397">
        <f t="shared" si="15"/>
        <v>885508.56755295955</v>
      </c>
      <c r="L29" s="397">
        <f t="shared" si="15"/>
        <v>5961149.2624557931</v>
      </c>
      <c r="M29" s="397">
        <f t="shared" si="15"/>
        <v>163359334.38833863</v>
      </c>
    </row>
    <row r="30" spans="1:14" ht="18" customHeight="1" x14ac:dyDescent="0.2">
      <c r="A30" s="161" t="s">
        <v>39</v>
      </c>
      <c r="B30" s="304">
        <v>0.1</v>
      </c>
      <c r="C30" s="223">
        <f>C29+(NPV(B30,D29:M29))</f>
        <v>12037156.024963211</v>
      </c>
      <c r="D30" s="173"/>
      <c r="E30" s="173"/>
      <c r="F30" s="173"/>
      <c r="G30" s="199"/>
      <c r="H30" s="199"/>
      <c r="I30" s="199"/>
      <c r="J30" s="186"/>
      <c r="K30" s="186"/>
      <c r="L30" s="186"/>
      <c r="M30" s="186"/>
    </row>
    <row r="31" spans="1:14" x14ac:dyDescent="0.2">
      <c r="A31" s="50" t="s">
        <v>105</v>
      </c>
      <c r="B31" s="312"/>
      <c r="C31" s="123">
        <f>IRR(C29:M29,0)</f>
        <v>0.12955841639184951</v>
      </c>
      <c r="D31" s="181"/>
      <c r="E31" s="181"/>
      <c r="F31" s="181"/>
      <c r="G31" s="208"/>
      <c r="H31" s="208"/>
      <c r="I31" s="208"/>
      <c r="J31" s="195"/>
      <c r="K31" s="195"/>
      <c r="L31" s="195"/>
      <c r="M31" s="195"/>
    </row>
    <row r="32" spans="1:14" x14ac:dyDescent="0.2">
      <c r="A32" s="50" t="s">
        <v>90</v>
      </c>
      <c r="B32" s="312"/>
      <c r="C32" s="219"/>
      <c r="D32" s="181"/>
      <c r="E32" s="181"/>
      <c r="F32" s="181"/>
      <c r="G32" s="208"/>
      <c r="H32" s="208"/>
      <c r="I32" s="208"/>
      <c r="J32" s="195"/>
      <c r="K32" s="195"/>
      <c r="L32" s="195"/>
      <c r="M32" s="195"/>
    </row>
    <row r="34" spans="2:2" x14ac:dyDescent="0.2">
      <c r="B34" s="54"/>
    </row>
  </sheetData>
  <pageMargins left="0.5" right="0.5" top="1" bottom="0.5" header="0.5" footer="0.5"/>
  <pageSetup orientation="landscape" r:id="rId1"/>
  <headerFooter alignWithMargins="0">
    <oddHeader>&amp;L&amp;"Arial,Bold"4. Income Statement: Affordable Rental Housing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zoomScale="94" zoomScaleNormal="100" workbookViewId="0">
      <selection activeCell="H42" sqref="H42"/>
    </sheetView>
  </sheetViews>
  <sheetFormatPr defaultColWidth="9.140625" defaultRowHeight="12.75" x14ac:dyDescent="0.2"/>
  <cols>
    <col min="1" max="1" width="23.140625" style="1" customWidth="1"/>
    <col min="2" max="3" width="14.7109375" style="3" customWidth="1"/>
    <col min="4" max="13" width="14.7109375" style="1" customWidth="1"/>
    <col min="14" max="14" width="15.28515625" style="1" customWidth="1"/>
    <col min="15" max="16384" width="9.140625" style="1"/>
  </cols>
  <sheetData>
    <row r="1" spans="1:14" ht="14.1" customHeight="1" x14ac:dyDescent="0.25">
      <c r="A1" s="92" t="s">
        <v>71</v>
      </c>
      <c r="B1" s="94">
        <v>198923</v>
      </c>
      <c r="L1" s="38" t="s">
        <v>71</v>
      </c>
      <c r="M1" s="39">
        <v>198923</v>
      </c>
    </row>
    <row r="2" spans="1:14" ht="14.1" customHeight="1" thickBot="1" x14ac:dyDescent="0.25">
      <c r="B2" s="48"/>
      <c r="C2" s="48">
        <v>0</v>
      </c>
      <c r="D2" s="46">
        <v>1</v>
      </c>
      <c r="E2" s="48">
        <v>2</v>
      </c>
      <c r="F2" s="46">
        <v>3</v>
      </c>
      <c r="G2" s="48">
        <v>4</v>
      </c>
      <c r="H2" s="46">
        <v>5</v>
      </c>
      <c r="I2" s="48">
        <v>6</v>
      </c>
      <c r="J2" s="46">
        <v>7</v>
      </c>
      <c r="K2" s="48">
        <v>8</v>
      </c>
      <c r="L2" s="46">
        <v>9</v>
      </c>
      <c r="M2" s="48">
        <v>10</v>
      </c>
    </row>
    <row r="3" spans="1:14" ht="14.1" customHeight="1" x14ac:dyDescent="0.2">
      <c r="B3" s="137"/>
      <c r="C3" s="126" t="s">
        <v>100</v>
      </c>
      <c r="D3" s="127" t="s">
        <v>56</v>
      </c>
      <c r="E3" s="128"/>
      <c r="F3" s="127"/>
      <c r="G3" s="127" t="s">
        <v>124</v>
      </c>
      <c r="H3" s="127"/>
      <c r="I3" s="127"/>
      <c r="J3" s="127" t="s">
        <v>125</v>
      </c>
      <c r="K3" s="127"/>
      <c r="L3" s="127"/>
      <c r="M3" s="129"/>
    </row>
    <row r="4" spans="1:14" ht="14.1" customHeight="1" x14ac:dyDescent="0.2">
      <c r="A4" s="5"/>
      <c r="B4" s="147" t="s">
        <v>28</v>
      </c>
      <c r="C4" s="148" t="s">
        <v>118</v>
      </c>
      <c r="D4" s="149">
        <v>2021</v>
      </c>
      <c r="E4" s="106">
        <f>D4+1</f>
        <v>2022</v>
      </c>
      <c r="F4" s="106">
        <f t="shared" ref="F4:M4" si="0">E4+1</f>
        <v>2023</v>
      </c>
      <c r="G4" s="106">
        <f t="shared" si="0"/>
        <v>2024</v>
      </c>
      <c r="H4" s="106">
        <f t="shared" si="0"/>
        <v>2025</v>
      </c>
      <c r="I4" s="106">
        <f t="shared" si="0"/>
        <v>2026</v>
      </c>
      <c r="J4" s="106">
        <f t="shared" si="0"/>
        <v>2027</v>
      </c>
      <c r="K4" s="106">
        <f t="shared" si="0"/>
        <v>2028</v>
      </c>
      <c r="L4" s="106">
        <f t="shared" si="0"/>
        <v>2029</v>
      </c>
      <c r="M4" s="150">
        <f t="shared" si="0"/>
        <v>2030</v>
      </c>
      <c r="N4" s="1" t="s">
        <v>243</v>
      </c>
    </row>
    <row r="5" spans="1:14" ht="18" customHeight="1" x14ac:dyDescent="0.2">
      <c r="A5" s="42" t="s">
        <v>11</v>
      </c>
      <c r="B5" s="303"/>
      <c r="C5" s="211"/>
      <c r="D5" s="276"/>
      <c r="E5" s="276"/>
      <c r="F5" s="276"/>
      <c r="G5" s="282"/>
      <c r="H5" s="282"/>
      <c r="I5" s="282"/>
      <c r="J5" s="288"/>
      <c r="K5" s="288"/>
      <c r="L5" s="288"/>
      <c r="M5" s="288"/>
    </row>
    <row r="6" spans="1:14" ht="14.1" customHeight="1" x14ac:dyDescent="0.2">
      <c r="A6" s="25" t="s">
        <v>12</v>
      </c>
      <c r="B6" s="304">
        <v>0.02</v>
      </c>
      <c r="C6" s="294">
        <f>1+B6</f>
        <v>1.02</v>
      </c>
      <c r="D6" s="277">
        <f>C6*(1+$B$6)</f>
        <v>1.0404</v>
      </c>
      <c r="E6" s="277">
        <f t="shared" ref="E6:M6" si="1">D6*(1+$B$6)</f>
        <v>1.0612079999999999</v>
      </c>
      <c r="F6" s="277">
        <f t="shared" si="1"/>
        <v>1.08243216</v>
      </c>
      <c r="G6" s="283">
        <f t="shared" si="1"/>
        <v>1.1040808032</v>
      </c>
      <c r="H6" s="283">
        <f t="shared" si="1"/>
        <v>1.1261624192640001</v>
      </c>
      <c r="I6" s="283">
        <f t="shared" si="1"/>
        <v>1.14868566764928</v>
      </c>
      <c r="J6" s="289">
        <f t="shared" si="1"/>
        <v>1.1716593810022657</v>
      </c>
      <c r="K6" s="289">
        <f t="shared" si="1"/>
        <v>1.1950925686223111</v>
      </c>
      <c r="L6" s="289">
        <f t="shared" si="1"/>
        <v>1.2189944199947573</v>
      </c>
      <c r="M6" s="289">
        <f t="shared" si="1"/>
        <v>1.2433743083946525</v>
      </c>
    </row>
    <row r="7" spans="1:14" ht="14.1" customHeight="1" x14ac:dyDescent="0.2">
      <c r="A7" s="25" t="s">
        <v>139</v>
      </c>
      <c r="B7" s="319"/>
      <c r="C7" s="295">
        <f>'Development Schedule'!D36/$B$9</f>
        <v>0</v>
      </c>
      <c r="D7" s="278">
        <f>'Development Schedule'!E36/$B$9</f>
        <v>281.03065184964197</v>
      </c>
      <c r="E7" s="278">
        <f>'Development Schedule'!F36/$B$9</f>
        <v>281.03065184964197</v>
      </c>
      <c r="F7" s="278">
        <f>'Development Schedule'!G36/$B$9</f>
        <v>0</v>
      </c>
      <c r="G7" s="284">
        <f>'Development Schedule'!H36/$B$9</f>
        <v>244.54271330548923</v>
      </c>
      <c r="H7" s="284">
        <f>'Development Schedule'!I36/$B$9</f>
        <v>244.54271330548923</v>
      </c>
      <c r="I7" s="284">
        <f>'Development Schedule'!J36/$B$9</f>
        <v>0</v>
      </c>
      <c r="J7" s="290">
        <f>'Development Schedule'!K36/$B$9</f>
        <v>53.029385441527438</v>
      </c>
      <c r="K7" s="290">
        <f>'Development Schedule'!L36/$B$9</f>
        <v>53.029385441527438</v>
      </c>
      <c r="L7" s="290">
        <f>'Development Schedule'!M36/$B$9</f>
        <v>0</v>
      </c>
      <c r="M7" s="290">
        <f>'Development Schedule'!N36/$B$9</f>
        <v>0</v>
      </c>
    </row>
    <row r="8" spans="1:14" ht="14.1" customHeight="1" x14ac:dyDescent="0.2">
      <c r="A8" s="25" t="s">
        <v>142</v>
      </c>
      <c r="B8" s="320"/>
      <c r="C8" s="322"/>
      <c r="D8" s="172">
        <f>D7*$B$13</f>
        <v>266.97911925715988</v>
      </c>
      <c r="E8" s="172">
        <f t="shared" ref="E8:M8" si="2">E7*$B$13</f>
        <v>266.97911925715988</v>
      </c>
      <c r="F8" s="172">
        <f t="shared" si="2"/>
        <v>0</v>
      </c>
      <c r="G8" s="198">
        <f t="shared" si="2"/>
        <v>232.31557764021477</v>
      </c>
      <c r="H8" s="198">
        <f t="shared" si="2"/>
        <v>232.31557764021477</v>
      </c>
      <c r="I8" s="198">
        <f t="shared" si="2"/>
        <v>0</v>
      </c>
      <c r="J8" s="185">
        <f t="shared" si="2"/>
        <v>50.377916169451062</v>
      </c>
      <c r="K8" s="185">
        <f t="shared" si="2"/>
        <v>50.377916169451062</v>
      </c>
      <c r="L8" s="185">
        <f t="shared" si="2"/>
        <v>0</v>
      </c>
      <c r="M8" s="185">
        <f t="shared" si="2"/>
        <v>0</v>
      </c>
    </row>
    <row r="9" spans="1:14" ht="14.1" customHeight="1" x14ac:dyDescent="0.2">
      <c r="A9" s="25" t="s">
        <v>58</v>
      </c>
      <c r="B9" s="307">
        <v>838</v>
      </c>
      <c r="C9" s="212"/>
      <c r="D9" s="173"/>
      <c r="E9" s="173"/>
      <c r="F9" s="173"/>
      <c r="G9" s="199"/>
      <c r="H9" s="199"/>
      <c r="I9" s="199"/>
      <c r="J9" s="186"/>
      <c r="K9" s="186"/>
      <c r="L9" s="186"/>
      <c r="M9" s="186"/>
    </row>
    <row r="10" spans="1:14" ht="14.1" customHeight="1" x14ac:dyDescent="0.2">
      <c r="A10" s="25" t="s">
        <v>63</v>
      </c>
      <c r="B10" s="320"/>
      <c r="C10" s="213">
        <f>C8*$B$9</f>
        <v>0</v>
      </c>
      <c r="D10" s="174">
        <f t="shared" ref="D10:M10" si="3">D8*$B$9</f>
        <v>223728.50193749997</v>
      </c>
      <c r="E10" s="174">
        <f t="shared" si="3"/>
        <v>223728.50193749997</v>
      </c>
      <c r="F10" s="174">
        <f t="shared" si="3"/>
        <v>0</v>
      </c>
      <c r="G10" s="200">
        <f t="shared" si="3"/>
        <v>194680.45406249998</v>
      </c>
      <c r="H10" s="200">
        <f t="shared" si="3"/>
        <v>194680.45406249998</v>
      </c>
      <c r="I10" s="200">
        <f t="shared" si="3"/>
        <v>0</v>
      </c>
      <c r="J10" s="187">
        <f t="shared" si="3"/>
        <v>42216.693749999991</v>
      </c>
      <c r="K10" s="187">
        <f t="shared" si="3"/>
        <v>42216.693749999991</v>
      </c>
      <c r="L10" s="187">
        <f t="shared" si="3"/>
        <v>0</v>
      </c>
      <c r="M10" s="187">
        <f t="shared" si="3"/>
        <v>0</v>
      </c>
    </row>
    <row r="11" spans="1:14" ht="14.1" customHeight="1" x14ac:dyDescent="0.2">
      <c r="A11" s="25" t="s">
        <v>244</v>
      </c>
      <c r="B11" s="320"/>
      <c r="C11" s="214">
        <f>C8</f>
        <v>0</v>
      </c>
      <c r="D11" s="175">
        <f>SUM($C$8:D8)</f>
        <v>266.97911925715988</v>
      </c>
      <c r="E11" s="175">
        <f>SUM($C$8:E8)</f>
        <v>533.95823851431976</v>
      </c>
      <c r="F11" s="175">
        <f>SUM($C$8:F8)</f>
        <v>533.95823851431976</v>
      </c>
      <c r="G11" s="201">
        <f>SUM($C$8:G8)</f>
        <v>766.27381615453453</v>
      </c>
      <c r="H11" s="201">
        <f>SUM($C$8:H8)</f>
        <v>998.5893937947493</v>
      </c>
      <c r="I11" s="201">
        <f>SUM($C$8:I8)</f>
        <v>998.5893937947493</v>
      </c>
      <c r="J11" s="188">
        <f>SUM($C$8:J8)</f>
        <v>1048.9673099642005</v>
      </c>
      <c r="K11" s="188">
        <f>SUM($C$8:K8)</f>
        <v>1099.3452261336515</v>
      </c>
      <c r="L11" s="188">
        <f>SUM($C$8:L8)</f>
        <v>1099.3452261336515</v>
      </c>
      <c r="M11" s="188">
        <f>SUM($C$8:M8)</f>
        <v>1099.3452261336515</v>
      </c>
    </row>
    <row r="12" spans="1:14" ht="18" customHeight="1" x14ac:dyDescent="0.2">
      <c r="A12" s="25" t="s">
        <v>64</v>
      </c>
      <c r="B12" s="307">
        <v>300</v>
      </c>
      <c r="C12" s="212">
        <v>300</v>
      </c>
      <c r="D12" s="176">
        <f>$C$12*((1+$B$6)^D2)</f>
        <v>306</v>
      </c>
      <c r="E12" s="176">
        <f t="shared" ref="E12:M12" si="4">$C$12*((1+$B$6)^E2)</f>
        <v>312.12</v>
      </c>
      <c r="F12" s="176">
        <f t="shared" si="4"/>
        <v>318.36239999999998</v>
      </c>
      <c r="G12" s="202">
        <f t="shared" si="4"/>
        <v>324.729648</v>
      </c>
      <c r="H12" s="202">
        <f t="shared" si="4"/>
        <v>331.22424096000003</v>
      </c>
      <c r="I12" s="202">
        <f t="shared" si="4"/>
        <v>337.84872577920004</v>
      </c>
      <c r="J12" s="189">
        <f t="shared" si="4"/>
        <v>344.60570029478396</v>
      </c>
      <c r="K12" s="189">
        <f t="shared" si="4"/>
        <v>351.49781430067964</v>
      </c>
      <c r="L12" s="189">
        <f t="shared" si="4"/>
        <v>358.52777058669324</v>
      </c>
      <c r="M12" s="189">
        <f t="shared" si="4"/>
        <v>365.69832599842715</v>
      </c>
    </row>
    <row r="13" spans="1:14" ht="14.1" customHeight="1" thickBot="1" x14ac:dyDescent="0.25">
      <c r="A13" s="36" t="s">
        <v>61</v>
      </c>
      <c r="B13" s="308">
        <v>0.95</v>
      </c>
      <c r="C13" s="323">
        <f>B13</f>
        <v>0.95</v>
      </c>
      <c r="D13" s="325">
        <f t="shared" ref="D13:M13" si="5">C13</f>
        <v>0.95</v>
      </c>
      <c r="E13" s="325">
        <f t="shared" si="5"/>
        <v>0.95</v>
      </c>
      <c r="F13" s="325">
        <f t="shared" si="5"/>
        <v>0.95</v>
      </c>
      <c r="G13" s="326">
        <f t="shared" si="5"/>
        <v>0.95</v>
      </c>
      <c r="H13" s="326">
        <f t="shared" si="5"/>
        <v>0.95</v>
      </c>
      <c r="I13" s="326">
        <f t="shared" si="5"/>
        <v>0.95</v>
      </c>
      <c r="J13" s="327">
        <f t="shared" si="5"/>
        <v>0.95</v>
      </c>
      <c r="K13" s="327">
        <f t="shared" si="5"/>
        <v>0.95</v>
      </c>
      <c r="L13" s="327">
        <f t="shared" si="5"/>
        <v>0.95</v>
      </c>
      <c r="M13" s="327">
        <f t="shared" si="5"/>
        <v>0.95</v>
      </c>
    </row>
    <row r="14" spans="1:14" ht="14.1" customHeight="1" x14ac:dyDescent="0.2">
      <c r="A14" s="42" t="s">
        <v>0</v>
      </c>
      <c r="B14" s="328"/>
      <c r="C14" s="215"/>
      <c r="D14" s="177"/>
      <c r="E14" s="177"/>
      <c r="F14" s="177"/>
      <c r="G14" s="204"/>
      <c r="H14" s="204"/>
      <c r="I14" s="204"/>
      <c r="J14" s="191"/>
      <c r="K14" s="191"/>
      <c r="L14" s="191"/>
      <c r="M14" s="191"/>
    </row>
    <row r="15" spans="1:14" ht="14.1" customHeight="1" x14ac:dyDescent="0.2">
      <c r="A15" s="25" t="s">
        <v>143</v>
      </c>
      <c r="B15" s="307"/>
      <c r="C15" s="216">
        <f>C12*$B$9*C8</f>
        <v>0</v>
      </c>
      <c r="D15" s="364">
        <f t="shared" ref="D15:M15" si="6">D12*$B$9*D8</f>
        <v>68460921.592874989</v>
      </c>
      <c r="E15" s="364">
        <f t="shared" si="6"/>
        <v>69830140.0247325</v>
      </c>
      <c r="F15" s="364">
        <f t="shared" si="6"/>
        <v>0</v>
      </c>
      <c r="G15" s="357">
        <f t="shared" si="6"/>
        <v>63218515.320195794</v>
      </c>
      <c r="H15" s="357">
        <f t="shared" si="6"/>
        <v>64482885.626599714</v>
      </c>
      <c r="I15" s="357">
        <f t="shared" si="6"/>
        <v>0</v>
      </c>
      <c r="J15" s="351">
        <f t="shared" si="6"/>
        <v>14548113.313849177</v>
      </c>
      <c r="K15" s="351">
        <f t="shared" si="6"/>
        <v>14839075.580126159</v>
      </c>
      <c r="L15" s="192">
        <f t="shared" si="6"/>
        <v>0</v>
      </c>
      <c r="M15" s="192">
        <f t="shared" si="6"/>
        <v>0</v>
      </c>
      <c r="N15" s="479">
        <f>SUM(C15:M15)</f>
        <v>295379651.45837831</v>
      </c>
    </row>
    <row r="16" spans="1:14" ht="14.1" customHeight="1" x14ac:dyDescent="0.2">
      <c r="A16" s="25" t="s">
        <v>62</v>
      </c>
      <c r="B16" s="311">
        <v>0.28000000000000003</v>
      </c>
      <c r="C16" s="216">
        <f>C15*(-$B$16)</f>
        <v>0</v>
      </c>
      <c r="D16" s="364">
        <f t="shared" ref="D16:M16" si="7">D15*(-$B$16)</f>
        <v>-19169058.046004999</v>
      </c>
      <c r="E16" s="364">
        <f t="shared" si="7"/>
        <v>-19552439.206925102</v>
      </c>
      <c r="F16" s="364">
        <f t="shared" si="7"/>
        <v>0</v>
      </c>
      <c r="G16" s="357">
        <f t="shared" si="7"/>
        <v>-17701184.289654825</v>
      </c>
      <c r="H16" s="357">
        <f t="shared" si="7"/>
        <v>-18055207.975447923</v>
      </c>
      <c r="I16" s="357">
        <f t="shared" si="7"/>
        <v>0</v>
      </c>
      <c r="J16" s="351">
        <f t="shared" si="7"/>
        <v>-4073471.7278777701</v>
      </c>
      <c r="K16" s="351">
        <f t="shared" si="7"/>
        <v>-4154941.1624353249</v>
      </c>
      <c r="L16" s="192">
        <f t="shared" si="7"/>
        <v>0</v>
      </c>
      <c r="M16" s="192">
        <f t="shared" si="7"/>
        <v>0</v>
      </c>
      <c r="N16" s="479">
        <f>SUM(C16:M16)</f>
        <v>-82706302.408345938</v>
      </c>
    </row>
    <row r="17" spans="1:14" ht="18" customHeight="1" x14ac:dyDescent="0.2">
      <c r="A17" s="49" t="s">
        <v>5</v>
      </c>
      <c r="B17" s="630"/>
      <c r="C17" s="697">
        <f>SUM(C15:C16)</f>
        <v>0</v>
      </c>
      <c r="D17" s="710">
        <f t="shared" ref="D17:M17" si="8">SUM(D15:D16)</f>
        <v>49291863.546869993</v>
      </c>
      <c r="E17" s="710">
        <f t="shared" si="8"/>
        <v>50277700.817807399</v>
      </c>
      <c r="F17" s="710">
        <f t="shared" si="8"/>
        <v>0</v>
      </c>
      <c r="G17" s="711">
        <f t="shared" si="8"/>
        <v>45517331.030540973</v>
      </c>
      <c r="H17" s="711">
        <f t="shared" si="8"/>
        <v>46427677.651151791</v>
      </c>
      <c r="I17" s="711">
        <f t="shared" si="8"/>
        <v>0</v>
      </c>
      <c r="J17" s="712">
        <f t="shared" si="8"/>
        <v>10474641.585971408</v>
      </c>
      <c r="K17" s="712">
        <f t="shared" si="8"/>
        <v>10684134.417690834</v>
      </c>
      <c r="L17" s="700">
        <f t="shared" si="8"/>
        <v>0</v>
      </c>
      <c r="M17" s="700">
        <f t="shared" si="8"/>
        <v>0</v>
      </c>
      <c r="N17" s="479">
        <f>SUM(N15:N16)</f>
        <v>212673349.05003238</v>
      </c>
    </row>
    <row r="18" spans="1:14" ht="14.1" customHeight="1" x14ac:dyDescent="0.2">
      <c r="A18" s="42" t="s">
        <v>2</v>
      </c>
      <c r="B18" s="328"/>
      <c r="C18" s="215"/>
      <c r="D18" s="177"/>
      <c r="E18" s="177"/>
      <c r="F18" s="177"/>
      <c r="G18" s="204"/>
      <c r="H18" s="204"/>
      <c r="I18" s="204"/>
      <c r="J18" s="191"/>
      <c r="K18" s="191"/>
      <c r="L18" s="191"/>
      <c r="M18" s="191"/>
      <c r="N18" s="479"/>
    </row>
    <row r="19" spans="1:14" ht="14.1" customHeight="1" x14ac:dyDescent="0.2">
      <c r="A19" s="25" t="s">
        <v>14</v>
      </c>
      <c r="B19" s="307"/>
      <c r="C19" s="218">
        <f>C21/$N$21</f>
        <v>0</v>
      </c>
      <c r="D19" s="180">
        <f t="shared" ref="D19:M19" si="9">D21/$N$21</f>
        <v>0.23177263990550057</v>
      </c>
      <c r="E19" s="180">
        <f t="shared" si="9"/>
        <v>0.2364080927036106</v>
      </c>
      <c r="F19" s="180">
        <f t="shared" si="9"/>
        <v>0</v>
      </c>
      <c r="G19" s="207">
        <f t="shared" si="9"/>
        <v>0.21402461208166149</v>
      </c>
      <c r="H19" s="207">
        <f t="shared" si="9"/>
        <v>0.21830510432329467</v>
      </c>
      <c r="I19" s="207">
        <f t="shared" si="9"/>
        <v>0</v>
      </c>
      <c r="J19" s="194">
        <f t="shared" si="9"/>
        <v>4.9252252963332979E-2</v>
      </c>
      <c r="K19" s="194">
        <f t="shared" si="9"/>
        <v>5.0237298022599644E-2</v>
      </c>
      <c r="L19" s="194">
        <f t="shared" si="9"/>
        <v>0</v>
      </c>
      <c r="M19" s="194">
        <f t="shared" si="9"/>
        <v>0</v>
      </c>
      <c r="N19" s="479"/>
    </row>
    <row r="20" spans="1:14" ht="14.1" customHeight="1" x14ac:dyDescent="0.2">
      <c r="A20" s="25" t="s">
        <v>141</v>
      </c>
      <c r="B20" s="313">
        <v>250</v>
      </c>
      <c r="C20" s="299">
        <f>$B$20*((1+$B$6)^C2)</f>
        <v>250</v>
      </c>
      <c r="D20" s="108">
        <f>$B$20*((1+$B$6)^D2)</f>
        <v>255</v>
      </c>
      <c r="E20" s="108">
        <f t="shared" ref="E20:M20" si="10">$B$20*((1+$B$6)^E2)</f>
        <v>260.10000000000002</v>
      </c>
      <c r="F20" s="108">
        <f t="shared" si="10"/>
        <v>265.30199999999996</v>
      </c>
      <c r="G20" s="111">
        <f t="shared" si="10"/>
        <v>270.60804000000002</v>
      </c>
      <c r="H20" s="111">
        <f t="shared" si="10"/>
        <v>276.0202008</v>
      </c>
      <c r="I20" s="111">
        <f t="shared" si="10"/>
        <v>281.54060481600004</v>
      </c>
      <c r="J20" s="114">
        <f t="shared" si="10"/>
        <v>287.17141691231996</v>
      </c>
      <c r="K20" s="114">
        <f t="shared" si="10"/>
        <v>292.91484525056637</v>
      </c>
      <c r="L20" s="114">
        <f t="shared" si="10"/>
        <v>298.77314215557772</v>
      </c>
      <c r="M20" s="114">
        <f t="shared" si="10"/>
        <v>304.7486049986893</v>
      </c>
      <c r="N20" s="479"/>
    </row>
    <row r="21" spans="1:14" ht="14.1" customHeight="1" x14ac:dyDescent="0.2">
      <c r="A21" s="25" t="s">
        <v>2</v>
      </c>
      <c r="B21" s="313"/>
      <c r="C21" s="647">
        <f>C20*'Development Schedule'!D11</f>
        <v>0</v>
      </c>
      <c r="D21" s="182">
        <f>D20*'Development Schedule'!E11</f>
        <v>85790628.5625</v>
      </c>
      <c r="E21" s="182">
        <f>E20*'Development Schedule'!F11</f>
        <v>87506441.133750007</v>
      </c>
      <c r="F21" s="182">
        <f>F20*'Development Schedule'!G11</f>
        <v>0</v>
      </c>
      <c r="G21" s="209">
        <f>G20*'Development Schedule'!H11</f>
        <v>79221197.143102512</v>
      </c>
      <c r="H21" s="209">
        <f>H20*'Development Schedule'!I11</f>
        <v>80805621.085964546</v>
      </c>
      <c r="I21" s="209">
        <f>I20*'Development Schedule'!J11</f>
        <v>0</v>
      </c>
      <c r="J21" s="196">
        <f>J20*'Development Schedule'!K11</f>
        <v>18230718.438407492</v>
      </c>
      <c r="K21" s="196">
        <f>K20*'Development Schedule'!L11</f>
        <v>18595332.807175644</v>
      </c>
      <c r="L21" s="196">
        <f>L20*'Development Schedule'!M11</f>
        <v>0</v>
      </c>
      <c r="M21" s="196">
        <f>M20*'Development Schedule'!N11</f>
        <v>0</v>
      </c>
      <c r="N21" s="479">
        <f>SUM(C21:M21)</f>
        <v>370149939.17090023</v>
      </c>
    </row>
    <row r="22" spans="1:14" ht="18" customHeight="1" x14ac:dyDescent="0.2">
      <c r="A22" s="25" t="s">
        <v>15</v>
      </c>
      <c r="B22" s="313"/>
      <c r="C22" s="647"/>
      <c r="D22" s="718"/>
      <c r="E22" s="718"/>
      <c r="F22" s="718"/>
      <c r="G22" s="719"/>
      <c r="H22" s="719"/>
      <c r="I22" s="719"/>
      <c r="J22" s="694"/>
      <c r="K22" s="694"/>
      <c r="L22" s="694"/>
      <c r="M22" s="694"/>
    </row>
    <row r="23" spans="1:14" ht="14.1" customHeight="1" x14ac:dyDescent="0.2">
      <c r="A23" s="49" t="s">
        <v>3</v>
      </c>
      <c r="B23" s="635"/>
      <c r="C23" s="720">
        <f>C21</f>
        <v>0</v>
      </c>
      <c r="D23" s="632">
        <f>SUM(D21:D22)</f>
        <v>85790628.5625</v>
      </c>
      <c r="E23" s="632">
        <f t="shared" ref="E23:M23" si="11">SUM(E21:E22)</f>
        <v>87506441.133750007</v>
      </c>
      <c r="F23" s="632">
        <f t="shared" si="11"/>
        <v>0</v>
      </c>
      <c r="G23" s="633">
        <f t="shared" si="11"/>
        <v>79221197.143102512</v>
      </c>
      <c r="H23" s="633">
        <f t="shared" si="11"/>
        <v>80805621.085964546</v>
      </c>
      <c r="I23" s="633">
        <f t="shared" si="11"/>
        <v>0</v>
      </c>
      <c r="J23" s="634">
        <f t="shared" si="11"/>
        <v>18230718.438407492</v>
      </c>
      <c r="K23" s="634">
        <f t="shared" si="11"/>
        <v>18595332.807175644</v>
      </c>
      <c r="L23" s="634">
        <f t="shared" si="11"/>
        <v>0</v>
      </c>
      <c r="M23" s="634">
        <f t="shared" si="11"/>
        <v>0</v>
      </c>
    </row>
    <row r="24" spans="1:14" ht="14.1" customHeight="1" x14ac:dyDescent="0.2">
      <c r="A24" s="42" t="s">
        <v>4</v>
      </c>
      <c r="B24" s="328"/>
      <c r="C24" s="215"/>
      <c r="D24" s="177"/>
      <c r="E24" s="177"/>
      <c r="F24" s="177"/>
      <c r="G24" s="204"/>
      <c r="H24" s="204"/>
      <c r="I24" s="204"/>
      <c r="J24" s="191"/>
      <c r="K24" s="191"/>
      <c r="L24" s="191"/>
      <c r="M24" s="191"/>
    </row>
    <row r="25" spans="1:14" ht="14.1" customHeight="1" x14ac:dyDescent="0.2">
      <c r="A25" s="25" t="s">
        <v>5</v>
      </c>
      <c r="B25" s="307"/>
      <c r="C25" s="220">
        <f>C17</f>
        <v>0</v>
      </c>
      <c r="D25" s="182">
        <f t="shared" ref="D25:M25" si="12">D17</f>
        <v>49291863.546869993</v>
      </c>
      <c r="E25" s="182">
        <f t="shared" si="12"/>
        <v>50277700.817807399</v>
      </c>
      <c r="F25" s="182">
        <f t="shared" si="12"/>
        <v>0</v>
      </c>
      <c r="G25" s="209">
        <f t="shared" si="12"/>
        <v>45517331.030540973</v>
      </c>
      <c r="H25" s="209">
        <f t="shared" si="12"/>
        <v>46427677.651151791</v>
      </c>
      <c r="I25" s="209">
        <f t="shared" si="12"/>
        <v>0</v>
      </c>
      <c r="J25" s="196">
        <f t="shared" si="12"/>
        <v>10474641.585971408</v>
      </c>
      <c r="K25" s="196">
        <f t="shared" si="12"/>
        <v>10684134.417690834</v>
      </c>
      <c r="L25" s="196">
        <f t="shared" si="12"/>
        <v>0</v>
      </c>
      <c r="M25" s="196">
        <f t="shared" si="12"/>
        <v>0</v>
      </c>
    </row>
    <row r="26" spans="1:14" ht="18" customHeight="1" x14ac:dyDescent="0.2">
      <c r="A26" s="159" t="s">
        <v>102</v>
      </c>
      <c r="B26" s="316">
        <v>7.0000000000000007E-2</v>
      </c>
      <c r="C26" s="221">
        <f>C25/$B$26</f>
        <v>0</v>
      </c>
      <c r="D26" s="183"/>
      <c r="E26" s="183"/>
      <c r="F26" s="183">
        <f t="shared" ref="F26:I26" si="13">F25/$B$26</f>
        <v>0</v>
      </c>
      <c r="G26" s="210"/>
      <c r="H26" s="210"/>
      <c r="I26" s="210">
        <f t="shared" si="13"/>
        <v>0</v>
      </c>
      <c r="J26" s="197"/>
      <c r="K26" s="197"/>
      <c r="L26" s="197">
        <f t="shared" ref="L26" si="14">L25/$B$26</f>
        <v>0</v>
      </c>
      <c r="M26" s="197">
        <f>N17/$B$26</f>
        <v>3038190700.7147479</v>
      </c>
    </row>
    <row r="27" spans="1:14" ht="18" customHeight="1" x14ac:dyDescent="0.2">
      <c r="A27" s="159" t="s">
        <v>103</v>
      </c>
      <c r="B27" s="317">
        <v>0.05</v>
      </c>
      <c r="C27" s="222">
        <f>C26*(-$B$27)</f>
        <v>0</v>
      </c>
      <c r="D27" s="183">
        <f t="shared" ref="D27:M27" si="15">D26*(-$B$27)</f>
        <v>0</v>
      </c>
      <c r="E27" s="183">
        <f t="shared" si="15"/>
        <v>0</v>
      </c>
      <c r="F27" s="183">
        <f t="shared" si="15"/>
        <v>0</v>
      </c>
      <c r="G27" s="210">
        <f t="shared" si="15"/>
        <v>0</v>
      </c>
      <c r="H27" s="210">
        <f t="shared" si="15"/>
        <v>0</v>
      </c>
      <c r="I27" s="210">
        <f t="shared" si="15"/>
        <v>0</v>
      </c>
      <c r="J27" s="197">
        <f t="shared" si="15"/>
        <v>0</v>
      </c>
      <c r="K27" s="197">
        <f t="shared" si="15"/>
        <v>0</v>
      </c>
      <c r="L27" s="197">
        <f t="shared" si="15"/>
        <v>0</v>
      </c>
      <c r="M27" s="197">
        <f t="shared" si="15"/>
        <v>-151909535.0357374</v>
      </c>
    </row>
    <row r="28" spans="1:14" ht="18" customHeight="1" x14ac:dyDescent="0.2">
      <c r="A28" s="49" t="s">
        <v>3</v>
      </c>
      <c r="B28" s="329"/>
      <c r="C28" s="219">
        <f>C23</f>
        <v>0</v>
      </c>
      <c r="D28" s="280">
        <f>-D23</f>
        <v>-85790628.5625</v>
      </c>
      <c r="E28" s="280">
        <f t="shared" ref="E28:M28" si="16">-E23</f>
        <v>-87506441.133750007</v>
      </c>
      <c r="F28" s="280">
        <f t="shared" si="16"/>
        <v>0</v>
      </c>
      <c r="G28" s="286">
        <f t="shared" si="16"/>
        <v>-79221197.143102512</v>
      </c>
      <c r="H28" s="286">
        <f t="shared" si="16"/>
        <v>-80805621.085964546</v>
      </c>
      <c r="I28" s="286">
        <f t="shared" si="16"/>
        <v>0</v>
      </c>
      <c r="J28" s="292">
        <f t="shared" si="16"/>
        <v>-18230718.438407492</v>
      </c>
      <c r="K28" s="292">
        <f t="shared" si="16"/>
        <v>-18595332.807175644</v>
      </c>
      <c r="L28" s="292">
        <f t="shared" si="16"/>
        <v>0</v>
      </c>
      <c r="M28" s="292">
        <f t="shared" si="16"/>
        <v>0</v>
      </c>
    </row>
    <row r="29" spans="1:14" x14ac:dyDescent="0.2">
      <c r="A29" s="160" t="s">
        <v>6</v>
      </c>
      <c r="B29" s="330"/>
      <c r="C29" s="301">
        <f>SUM(C25:C28)</f>
        <v>0</v>
      </c>
      <c r="D29" s="281">
        <f t="shared" ref="D29:M29" si="17">SUM(D25:D28)</f>
        <v>-36498765.015630007</v>
      </c>
      <c r="E29" s="281">
        <f t="shared" si="17"/>
        <v>-37228740.315942608</v>
      </c>
      <c r="F29" s="281">
        <f t="shared" si="17"/>
        <v>0</v>
      </c>
      <c r="G29" s="287">
        <f t="shared" si="17"/>
        <v>-33703866.112561539</v>
      </c>
      <c r="H29" s="287">
        <f t="shared" si="17"/>
        <v>-34377943.434812754</v>
      </c>
      <c r="I29" s="287">
        <f t="shared" si="17"/>
        <v>0</v>
      </c>
      <c r="J29" s="293">
        <f t="shared" si="17"/>
        <v>-7756076.8524360843</v>
      </c>
      <c r="K29" s="293">
        <f t="shared" si="17"/>
        <v>-7911198.3894848097</v>
      </c>
      <c r="L29" s="293">
        <f t="shared" si="17"/>
        <v>0</v>
      </c>
      <c r="M29" s="293">
        <f t="shared" si="17"/>
        <v>2886281165.6790104</v>
      </c>
    </row>
    <row r="30" spans="1:14" x14ac:dyDescent="0.2">
      <c r="A30" s="161" t="s">
        <v>39</v>
      </c>
      <c r="B30" s="304">
        <v>0.1</v>
      </c>
      <c r="C30" s="223">
        <f>C29+(NPV(B30,D29:M29))</f>
        <v>996801166.97376978</v>
      </c>
      <c r="D30" s="173"/>
      <c r="E30" s="173"/>
      <c r="F30" s="173"/>
      <c r="G30" s="199"/>
      <c r="H30" s="199"/>
      <c r="I30" s="199"/>
      <c r="J30" s="186"/>
      <c r="K30" s="186"/>
      <c r="L30" s="186"/>
      <c r="M30" s="186"/>
    </row>
    <row r="31" spans="1:14" x14ac:dyDescent="0.2">
      <c r="A31" s="50" t="s">
        <v>105</v>
      </c>
      <c r="B31" s="630"/>
      <c r="C31" s="695">
        <f>IRR(C29:M29)</f>
        <v>0.48975125741572079</v>
      </c>
      <c r="D31" s="181"/>
      <c r="E31" s="181"/>
      <c r="F31" s="181"/>
      <c r="G31" s="208"/>
      <c r="H31" s="208"/>
      <c r="I31" s="208"/>
      <c r="J31" s="195"/>
      <c r="K31" s="195"/>
      <c r="L31" s="195"/>
      <c r="M31" s="195"/>
    </row>
    <row r="32" spans="1:14" x14ac:dyDescent="0.2">
      <c r="A32" s="50" t="s">
        <v>90</v>
      </c>
      <c r="B32" s="630"/>
      <c r="C32" s="631"/>
      <c r="D32" s="181"/>
      <c r="E32" s="181"/>
      <c r="F32" s="181"/>
      <c r="G32" s="208"/>
      <c r="H32" s="208"/>
      <c r="I32" s="208"/>
      <c r="J32" s="195"/>
      <c r="K32" s="195"/>
      <c r="L32" s="195"/>
      <c r="M32" s="195"/>
    </row>
    <row r="34" spans="2:2" x14ac:dyDescent="0.2">
      <c r="B34" s="54"/>
    </row>
  </sheetData>
  <phoneticPr fontId="2" type="noConversion"/>
  <pageMargins left="0.5" right="0.5" top="1" bottom="0.5" header="0.5" footer="0.5"/>
  <pageSetup orientation="landscape" r:id="rId1"/>
  <headerFooter alignWithMargins="0">
    <oddHeader>&amp;L&amp;"Arial,Bold"3. Income Statement: Market-rate For Sale Housing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zoomScaleNormal="100" workbookViewId="0">
      <selection activeCell="C15" sqref="C15:M17"/>
    </sheetView>
  </sheetViews>
  <sheetFormatPr defaultColWidth="9.140625" defaultRowHeight="12.75" x14ac:dyDescent="0.2"/>
  <cols>
    <col min="1" max="1" width="23.28515625" style="1" customWidth="1"/>
    <col min="2" max="3" width="14.7109375" style="3" customWidth="1"/>
    <col min="4" max="13" width="14.7109375" style="1" customWidth="1"/>
    <col min="14" max="16384" width="9.140625" style="1"/>
  </cols>
  <sheetData>
    <row r="1" spans="1:13" ht="14.1" customHeight="1" x14ac:dyDescent="0.25">
      <c r="A1" s="92" t="s">
        <v>71</v>
      </c>
      <c r="B1" s="94">
        <v>198923</v>
      </c>
      <c r="L1" s="38" t="s">
        <v>71</v>
      </c>
      <c r="M1" s="39">
        <v>198923</v>
      </c>
    </row>
    <row r="2" spans="1:13" ht="14.1" customHeight="1" thickBot="1" x14ac:dyDescent="0.25">
      <c r="A2" s="46"/>
      <c r="B2" s="48"/>
      <c r="C2" s="48">
        <v>0</v>
      </c>
      <c r="D2" s="46">
        <v>1</v>
      </c>
      <c r="E2" s="48">
        <v>2</v>
      </c>
      <c r="F2" s="46">
        <v>3</v>
      </c>
      <c r="G2" s="48">
        <v>4</v>
      </c>
      <c r="H2" s="46">
        <v>5</v>
      </c>
      <c r="I2" s="48">
        <v>6</v>
      </c>
      <c r="J2" s="46">
        <v>7</v>
      </c>
      <c r="K2" s="48">
        <v>8</v>
      </c>
      <c r="L2" s="46">
        <v>9</v>
      </c>
      <c r="M2" s="48">
        <v>10</v>
      </c>
    </row>
    <row r="3" spans="1:13" ht="14.1" customHeight="1" x14ac:dyDescent="0.2">
      <c r="A3" s="46"/>
      <c r="B3" s="137"/>
      <c r="C3" s="126" t="s">
        <v>100</v>
      </c>
      <c r="D3" s="127" t="s">
        <v>56</v>
      </c>
      <c r="E3" s="128"/>
      <c r="F3" s="127"/>
      <c r="G3" s="127" t="s">
        <v>124</v>
      </c>
      <c r="H3" s="127"/>
      <c r="I3" s="127"/>
      <c r="J3" s="127" t="s">
        <v>125</v>
      </c>
      <c r="K3" s="127"/>
      <c r="L3" s="127"/>
      <c r="M3" s="129"/>
    </row>
    <row r="4" spans="1:13" ht="14.1" customHeight="1" x14ac:dyDescent="0.2">
      <c r="A4" s="44"/>
      <c r="B4" s="147" t="s">
        <v>28</v>
      </c>
      <c r="C4" s="148" t="s">
        <v>118</v>
      </c>
      <c r="D4" s="149">
        <v>2021</v>
      </c>
      <c r="E4" s="106">
        <f>D4+1</f>
        <v>2022</v>
      </c>
      <c r="F4" s="106">
        <f t="shared" ref="F4:M4" si="0">E4+1</f>
        <v>2023</v>
      </c>
      <c r="G4" s="106">
        <f t="shared" si="0"/>
        <v>2024</v>
      </c>
      <c r="H4" s="106">
        <f t="shared" si="0"/>
        <v>2025</v>
      </c>
      <c r="I4" s="106">
        <f t="shared" si="0"/>
        <v>2026</v>
      </c>
      <c r="J4" s="106">
        <f t="shared" si="0"/>
        <v>2027</v>
      </c>
      <c r="K4" s="106">
        <f t="shared" si="0"/>
        <v>2028</v>
      </c>
      <c r="L4" s="106">
        <f t="shared" si="0"/>
        <v>2029</v>
      </c>
      <c r="M4" s="150">
        <f t="shared" si="0"/>
        <v>2030</v>
      </c>
    </row>
    <row r="5" spans="1:13" ht="18" customHeight="1" x14ac:dyDescent="0.2">
      <c r="A5" s="42" t="s">
        <v>11</v>
      </c>
      <c r="B5" s="303"/>
      <c r="C5" s="211"/>
      <c r="D5" s="276"/>
      <c r="E5" s="276"/>
      <c r="F5" s="276"/>
      <c r="G5" s="282"/>
      <c r="H5" s="282"/>
      <c r="I5" s="282"/>
      <c r="J5" s="288"/>
      <c r="K5" s="288"/>
      <c r="L5" s="288"/>
      <c r="M5" s="288"/>
    </row>
    <row r="6" spans="1:13" x14ac:dyDescent="0.2">
      <c r="A6" s="25" t="s">
        <v>12</v>
      </c>
      <c r="B6" s="304">
        <v>0.02</v>
      </c>
      <c r="C6" s="294">
        <f>1+B6</f>
        <v>1.02</v>
      </c>
      <c r="D6" s="277">
        <f>C6*(1+$B$6)</f>
        <v>1.0404</v>
      </c>
      <c r="E6" s="277">
        <f t="shared" ref="E6:M6" si="1">D6*(1+$B$6)</f>
        <v>1.0612079999999999</v>
      </c>
      <c r="F6" s="277">
        <f t="shared" si="1"/>
        <v>1.08243216</v>
      </c>
      <c r="G6" s="283">
        <f t="shared" si="1"/>
        <v>1.1040808032</v>
      </c>
      <c r="H6" s="283">
        <f t="shared" si="1"/>
        <v>1.1261624192640001</v>
      </c>
      <c r="I6" s="283">
        <f t="shared" si="1"/>
        <v>1.14868566764928</v>
      </c>
      <c r="J6" s="289">
        <f t="shared" si="1"/>
        <v>1.1716593810022657</v>
      </c>
      <c r="K6" s="289">
        <f t="shared" si="1"/>
        <v>1.1950925686223111</v>
      </c>
      <c r="L6" s="289">
        <f t="shared" si="1"/>
        <v>1.2189944199947573</v>
      </c>
      <c r="M6" s="289">
        <f t="shared" si="1"/>
        <v>1.2433743083946525</v>
      </c>
    </row>
    <row r="7" spans="1:13" ht="14.1" customHeight="1" x14ac:dyDescent="0.2">
      <c r="A7" s="25" t="s">
        <v>139</v>
      </c>
      <c r="B7" s="305"/>
      <c r="C7" s="295">
        <f>'Development Schedule'!D35/$B$9</f>
        <v>0</v>
      </c>
      <c r="D7" s="278">
        <f>'Development Schedule'!E35/$B$9</f>
        <v>20.817085322195702</v>
      </c>
      <c r="E7" s="278">
        <f>'Development Schedule'!F35/$B$9</f>
        <v>0</v>
      </c>
      <c r="F7" s="278">
        <f>'Development Schedule'!G35/$B$9</f>
        <v>0</v>
      </c>
      <c r="G7" s="284">
        <f>'Development Schedule'!H35/$B$9</f>
        <v>9.0571375298329357</v>
      </c>
      <c r="H7" s="284">
        <f>'Development Schedule'!I35/$B$9</f>
        <v>9.0571375298329357</v>
      </c>
      <c r="I7" s="284">
        <f>'Development Schedule'!J35/$B$9</f>
        <v>0</v>
      </c>
      <c r="J7" s="290">
        <f>'Development Schedule'!K35/$B$9</f>
        <v>1.9640513126491648</v>
      </c>
      <c r="K7" s="290">
        <f>'Development Schedule'!L35/$B$9</f>
        <v>1.9640513126491648</v>
      </c>
      <c r="L7" s="290">
        <f>'Development Schedule'!M35/$B$9</f>
        <v>0</v>
      </c>
      <c r="M7" s="290">
        <f>'Development Schedule'!N35/$B$9</f>
        <v>0</v>
      </c>
    </row>
    <row r="8" spans="1:13" ht="14.1" customHeight="1" x14ac:dyDescent="0.2">
      <c r="A8" s="25" t="s">
        <v>57</v>
      </c>
      <c r="B8" s="306"/>
      <c r="C8" s="296">
        <f>SUM(C7)</f>
        <v>0</v>
      </c>
      <c r="D8" s="172">
        <f>SUM($C$7:D7)</f>
        <v>20.817085322195702</v>
      </c>
      <c r="E8" s="172">
        <f>SUM($C$7:E7)</f>
        <v>20.817085322195702</v>
      </c>
      <c r="F8" s="172">
        <f>SUM($C$7:F7)</f>
        <v>20.817085322195702</v>
      </c>
      <c r="G8" s="198">
        <f>SUM($C$7:G7)</f>
        <v>29.874222852028637</v>
      </c>
      <c r="H8" s="198">
        <f>SUM($C$7:H7)</f>
        <v>38.931360381861573</v>
      </c>
      <c r="I8" s="198">
        <f>SUM($C$7:I7)</f>
        <v>38.931360381861573</v>
      </c>
      <c r="J8" s="185">
        <f>SUM($C$7:J7)</f>
        <v>40.895411694510742</v>
      </c>
      <c r="K8" s="185">
        <f>SUM($C$7:K7)</f>
        <v>42.859463007159903</v>
      </c>
      <c r="L8" s="185">
        <f>SUM($C$7:L7)</f>
        <v>42.859463007159903</v>
      </c>
      <c r="M8" s="185">
        <f>SUM($C$7:M7)</f>
        <v>42.859463007159903</v>
      </c>
    </row>
    <row r="9" spans="1:13" ht="14.1" customHeight="1" x14ac:dyDescent="0.2">
      <c r="A9" s="25" t="s">
        <v>58</v>
      </c>
      <c r="B9" s="307">
        <v>838</v>
      </c>
      <c r="C9" s="212"/>
      <c r="D9" s="173"/>
      <c r="E9" s="173"/>
      <c r="F9" s="173"/>
      <c r="G9" s="199"/>
      <c r="H9" s="199"/>
      <c r="I9" s="199"/>
      <c r="J9" s="186"/>
      <c r="K9" s="186"/>
      <c r="L9" s="186"/>
      <c r="M9" s="186"/>
    </row>
    <row r="10" spans="1:13" ht="14.1" customHeight="1" x14ac:dyDescent="0.2">
      <c r="A10" s="25" t="s">
        <v>59</v>
      </c>
      <c r="B10" s="306"/>
      <c r="C10" s="213">
        <f>C8*$B$9</f>
        <v>0</v>
      </c>
      <c r="D10" s="174">
        <f t="shared" ref="D10:M10" si="2">D8*$B$9</f>
        <v>17444.717499999999</v>
      </c>
      <c r="E10" s="174">
        <f t="shared" si="2"/>
        <v>17444.717499999999</v>
      </c>
      <c r="F10" s="174">
        <f t="shared" si="2"/>
        <v>17444.717499999999</v>
      </c>
      <c r="G10" s="200">
        <f t="shared" si="2"/>
        <v>25034.598749999997</v>
      </c>
      <c r="H10" s="200">
        <f t="shared" si="2"/>
        <v>32624.48</v>
      </c>
      <c r="I10" s="200">
        <f t="shared" si="2"/>
        <v>32624.48</v>
      </c>
      <c r="J10" s="187">
        <f t="shared" si="2"/>
        <v>34270.355000000003</v>
      </c>
      <c r="K10" s="187">
        <f t="shared" si="2"/>
        <v>35916.229999999996</v>
      </c>
      <c r="L10" s="187">
        <f t="shared" si="2"/>
        <v>35916.229999999996</v>
      </c>
      <c r="M10" s="187">
        <f t="shared" si="2"/>
        <v>35916.229999999996</v>
      </c>
    </row>
    <row r="11" spans="1:13" ht="14.1" customHeight="1" x14ac:dyDescent="0.2">
      <c r="A11" s="25" t="s">
        <v>140</v>
      </c>
      <c r="B11" s="306"/>
      <c r="C11" s="214">
        <f>C8*C13</f>
        <v>0</v>
      </c>
      <c r="D11" s="175">
        <f t="shared" ref="D11:M11" si="3">D8*D13</f>
        <v>19.776231056085916</v>
      </c>
      <c r="E11" s="175">
        <f t="shared" si="3"/>
        <v>19.776231056085916</v>
      </c>
      <c r="F11" s="175">
        <f t="shared" si="3"/>
        <v>19.776231056085916</v>
      </c>
      <c r="G11" s="201">
        <f t="shared" si="3"/>
        <v>28.380511709427203</v>
      </c>
      <c r="H11" s="201">
        <f t="shared" si="3"/>
        <v>36.984792362768495</v>
      </c>
      <c r="I11" s="201">
        <f t="shared" si="3"/>
        <v>36.984792362768495</v>
      </c>
      <c r="J11" s="188">
        <f t="shared" si="3"/>
        <v>38.850641109785201</v>
      </c>
      <c r="K11" s="188">
        <f t="shared" si="3"/>
        <v>40.716489856801907</v>
      </c>
      <c r="L11" s="188">
        <f t="shared" si="3"/>
        <v>40.716489856801907</v>
      </c>
      <c r="M11" s="188">
        <f t="shared" si="3"/>
        <v>40.716489856801907</v>
      </c>
    </row>
    <row r="12" spans="1:13" ht="18" customHeight="1" x14ac:dyDescent="0.2">
      <c r="A12" s="25" t="s">
        <v>60</v>
      </c>
      <c r="B12" s="307">
        <v>1.22</v>
      </c>
      <c r="C12" s="297">
        <f>$B$12*((1+$B$6)^C2)</f>
        <v>1.22</v>
      </c>
      <c r="D12" s="176">
        <f>$C$12*((1+$B$6)^D2)</f>
        <v>1.2444</v>
      </c>
      <c r="E12" s="176">
        <f t="shared" ref="E12:M12" si="4">$C$12*((1+$B$6)^E2)</f>
        <v>1.269288</v>
      </c>
      <c r="F12" s="176">
        <f t="shared" si="4"/>
        <v>1.2946737599999998</v>
      </c>
      <c r="G12" s="202">
        <f t="shared" si="4"/>
        <v>1.3205672352</v>
      </c>
      <c r="H12" s="202">
        <f t="shared" si="4"/>
        <v>1.3469785799039999</v>
      </c>
      <c r="I12" s="202">
        <f t="shared" si="4"/>
        <v>1.37391815150208</v>
      </c>
      <c r="J12" s="189">
        <f t="shared" si="4"/>
        <v>1.4013965145321214</v>
      </c>
      <c r="K12" s="189">
        <f t="shared" si="4"/>
        <v>1.429424444822764</v>
      </c>
      <c r="L12" s="189">
        <f t="shared" si="4"/>
        <v>1.4580129337192191</v>
      </c>
      <c r="M12" s="189">
        <f t="shared" si="4"/>
        <v>1.4871731923936036</v>
      </c>
    </row>
    <row r="13" spans="1:13" ht="14.1" customHeight="1" thickBot="1" x14ac:dyDescent="0.25">
      <c r="A13" s="36" t="s">
        <v>61</v>
      </c>
      <c r="B13" s="308">
        <v>0.95</v>
      </c>
      <c r="C13" s="298">
        <f>$B$13</f>
        <v>0.95</v>
      </c>
      <c r="D13" s="184">
        <f t="shared" ref="D13:M13" si="5">$B$13</f>
        <v>0.95</v>
      </c>
      <c r="E13" s="184">
        <f t="shared" si="5"/>
        <v>0.95</v>
      </c>
      <c r="F13" s="184">
        <f t="shared" si="5"/>
        <v>0.95</v>
      </c>
      <c r="G13" s="203">
        <f t="shared" si="5"/>
        <v>0.95</v>
      </c>
      <c r="H13" s="203">
        <f t="shared" si="5"/>
        <v>0.95</v>
      </c>
      <c r="I13" s="203">
        <f t="shared" si="5"/>
        <v>0.95</v>
      </c>
      <c r="J13" s="190">
        <f t="shared" si="5"/>
        <v>0.95</v>
      </c>
      <c r="K13" s="190">
        <f t="shared" si="5"/>
        <v>0.95</v>
      </c>
      <c r="L13" s="190">
        <f t="shared" si="5"/>
        <v>0.95</v>
      </c>
      <c r="M13" s="190">
        <f t="shared" si="5"/>
        <v>0.95</v>
      </c>
    </row>
    <row r="14" spans="1:13" ht="14.1" customHeight="1" x14ac:dyDescent="0.2">
      <c r="A14" s="42" t="s">
        <v>0</v>
      </c>
      <c r="B14" s="309"/>
      <c r="C14" s="215"/>
      <c r="D14" s="177"/>
      <c r="E14" s="177"/>
      <c r="F14" s="177"/>
      <c r="G14" s="204"/>
      <c r="H14" s="204"/>
      <c r="I14" s="204"/>
      <c r="J14" s="191"/>
      <c r="K14" s="191"/>
      <c r="L14" s="191"/>
      <c r="M14" s="191"/>
    </row>
    <row r="15" spans="1:13" ht="14.1" customHeight="1" x14ac:dyDescent="0.2">
      <c r="A15" s="25" t="s">
        <v>13</v>
      </c>
      <c r="B15" s="310"/>
      <c r="C15" s="721">
        <f>C12*$B$9*C11*12</f>
        <v>0</v>
      </c>
      <c r="D15" s="722">
        <f>D12*$B$9*D11*12</f>
        <v>247473.55360979997</v>
      </c>
      <c r="E15" s="722">
        <f t="shared" ref="E15:M15" si="6">E12*$B$9*E11*12</f>
        <v>252423.02468199597</v>
      </c>
      <c r="F15" s="722">
        <f t="shared" si="6"/>
        <v>257471.48517563581</v>
      </c>
      <c r="G15" s="723">
        <f t="shared" si="6"/>
        <v>376882.52775416919</v>
      </c>
      <c r="H15" s="723">
        <f t="shared" si="6"/>
        <v>500967.02344177349</v>
      </c>
      <c r="I15" s="723">
        <f t="shared" si="6"/>
        <v>510986.36391060904</v>
      </c>
      <c r="J15" s="724">
        <f t="shared" si="6"/>
        <v>547500.45895607444</v>
      </c>
      <c r="K15" s="724">
        <f t="shared" si="6"/>
        <v>585270.72325779439</v>
      </c>
      <c r="L15" s="724">
        <f t="shared" si="6"/>
        <v>596976.1377229502</v>
      </c>
      <c r="M15" s="724">
        <f t="shared" si="6"/>
        <v>608915.66047740914</v>
      </c>
    </row>
    <row r="16" spans="1:13" ht="18" customHeight="1" x14ac:dyDescent="0.2">
      <c r="A16" s="25" t="s">
        <v>62</v>
      </c>
      <c r="B16" s="311">
        <v>0.28000000000000003</v>
      </c>
      <c r="C16" s="721">
        <f>C15*(-$B$16)</f>
        <v>0</v>
      </c>
      <c r="D16" s="722">
        <f t="shared" ref="D16:M16" si="7">D15*(-$B$16)</f>
        <v>-69292.595010744</v>
      </c>
      <c r="E16" s="722">
        <f t="shared" si="7"/>
        <v>-70678.446910958883</v>
      </c>
      <c r="F16" s="722">
        <f t="shared" si="7"/>
        <v>-72092.015849178031</v>
      </c>
      <c r="G16" s="723">
        <f t="shared" si="7"/>
        <v>-105527.10777116739</v>
      </c>
      <c r="H16" s="723">
        <f t="shared" si="7"/>
        <v>-140270.76656369658</v>
      </c>
      <c r="I16" s="723">
        <f t="shared" si="7"/>
        <v>-143076.18189497053</v>
      </c>
      <c r="J16" s="724">
        <f t="shared" si="7"/>
        <v>-153300.12850770087</v>
      </c>
      <c r="K16" s="724">
        <f t="shared" si="7"/>
        <v>-163875.80251218245</v>
      </c>
      <c r="L16" s="724">
        <f t="shared" si="7"/>
        <v>-167153.31856242608</v>
      </c>
      <c r="M16" s="724">
        <f t="shared" si="7"/>
        <v>-170496.38493367456</v>
      </c>
    </row>
    <row r="17" spans="1:14" ht="18" customHeight="1" x14ac:dyDescent="0.2">
      <c r="A17" s="49" t="s">
        <v>5</v>
      </c>
      <c r="B17" s="708"/>
      <c r="C17" s="725">
        <f>SUM(C15:C16)</f>
        <v>0</v>
      </c>
      <c r="D17" s="726">
        <f t="shared" ref="D17:M17" si="8">SUM(D15:D16)</f>
        <v>178180.95859905597</v>
      </c>
      <c r="E17" s="726">
        <f t="shared" si="8"/>
        <v>181744.57777103709</v>
      </c>
      <c r="F17" s="726">
        <f>SUM(F15:F16)</f>
        <v>185379.46932645777</v>
      </c>
      <c r="G17" s="727">
        <f t="shared" si="8"/>
        <v>271355.41998300178</v>
      </c>
      <c r="H17" s="727">
        <f t="shared" si="8"/>
        <v>360696.25687807694</v>
      </c>
      <c r="I17" s="727">
        <f t="shared" si="8"/>
        <v>367910.18201563851</v>
      </c>
      <c r="J17" s="728">
        <f t="shared" si="8"/>
        <v>394200.33044837357</v>
      </c>
      <c r="K17" s="728">
        <f t="shared" si="8"/>
        <v>421394.92074561195</v>
      </c>
      <c r="L17" s="728">
        <f t="shared" si="8"/>
        <v>429822.81916052412</v>
      </c>
      <c r="M17" s="728">
        <f t="shared" si="8"/>
        <v>438419.27554373455</v>
      </c>
    </row>
    <row r="18" spans="1:14" ht="14.1" customHeight="1" x14ac:dyDescent="0.2">
      <c r="A18" s="42" t="s">
        <v>2</v>
      </c>
      <c r="B18" s="309"/>
      <c r="C18" s="215"/>
      <c r="D18" s="177"/>
      <c r="E18" s="177"/>
      <c r="F18" s="177"/>
      <c r="G18" s="204"/>
      <c r="H18" s="204"/>
      <c r="I18" s="204"/>
      <c r="J18" s="191"/>
      <c r="K18" s="191"/>
      <c r="L18" s="191"/>
      <c r="M18" s="191"/>
    </row>
    <row r="19" spans="1:14" ht="14.1" customHeight="1" x14ac:dyDescent="0.2">
      <c r="A19" s="25" t="s">
        <v>14</v>
      </c>
      <c r="B19" s="310"/>
      <c r="C19" s="218">
        <f>C21/$N$21</f>
        <v>0</v>
      </c>
      <c r="D19" s="180">
        <f t="shared" ref="D19:M19" si="9">D21/$N$21</f>
        <v>0.46570402885464657</v>
      </c>
      <c r="E19" s="180">
        <f t="shared" si="9"/>
        <v>0</v>
      </c>
      <c r="F19" s="180">
        <f t="shared" si="9"/>
        <v>0</v>
      </c>
      <c r="G19" s="207">
        <f t="shared" si="9"/>
        <v>0.21502133332286627</v>
      </c>
      <c r="H19" s="207">
        <f t="shared" si="9"/>
        <v>0.21932175998932366</v>
      </c>
      <c r="I19" s="207">
        <f t="shared" si="9"/>
        <v>0</v>
      </c>
      <c r="J19" s="194">
        <f t="shared" si="9"/>
        <v>4.9481622689684902E-2</v>
      </c>
      <c r="K19" s="194">
        <f t="shared" si="9"/>
        <v>5.0471255143478611E-2</v>
      </c>
      <c r="L19" s="194">
        <f t="shared" si="9"/>
        <v>0</v>
      </c>
      <c r="M19" s="194">
        <f t="shared" si="9"/>
        <v>0</v>
      </c>
    </row>
    <row r="20" spans="1:14" ht="14.1" customHeight="1" x14ac:dyDescent="0.2">
      <c r="A20" s="25" t="s">
        <v>141</v>
      </c>
      <c r="B20" s="313">
        <v>130</v>
      </c>
      <c r="C20" s="299">
        <f>$B$20*((1+$B$6)^C2)</f>
        <v>130</v>
      </c>
      <c r="D20" s="108">
        <f>$B$20*((1+$B$6)^D2)</f>
        <v>132.6</v>
      </c>
      <c r="E20" s="108">
        <f t="shared" ref="E20:M20" si="10">$B$20*((1+$B$6)^E2)</f>
        <v>135.25200000000001</v>
      </c>
      <c r="F20" s="108">
        <f t="shared" si="10"/>
        <v>137.95703999999998</v>
      </c>
      <c r="G20" s="111">
        <f t="shared" si="10"/>
        <v>140.71618079999999</v>
      </c>
      <c r="H20" s="111">
        <f t="shared" si="10"/>
        <v>143.53050441600001</v>
      </c>
      <c r="I20" s="111">
        <f t="shared" si="10"/>
        <v>146.40111450432002</v>
      </c>
      <c r="J20" s="114">
        <f t="shared" si="10"/>
        <v>149.32913679440637</v>
      </c>
      <c r="K20" s="114">
        <f t="shared" si="10"/>
        <v>152.31571953029453</v>
      </c>
      <c r="L20" s="114">
        <f t="shared" si="10"/>
        <v>155.36203392090042</v>
      </c>
      <c r="M20" s="114">
        <f t="shared" si="10"/>
        <v>158.46927459931842</v>
      </c>
    </row>
    <row r="21" spans="1:14" ht="14.1" customHeight="1" x14ac:dyDescent="0.2">
      <c r="A21" s="25" t="s">
        <v>2</v>
      </c>
      <c r="B21" s="314"/>
      <c r="C21" s="647">
        <f>C20*'Development Schedule'!D10</f>
        <v>0</v>
      </c>
      <c r="D21" s="182">
        <f>D20*'Development Schedule'!E10</f>
        <v>3304527.915</v>
      </c>
      <c r="E21" s="182">
        <f>E20*'Development Schedule'!F10</f>
        <v>0</v>
      </c>
      <c r="F21" s="182">
        <f>F20*'Development Schedule'!G10</f>
        <v>0</v>
      </c>
      <c r="G21" s="209">
        <f>G20*'Development Schedule'!H10</f>
        <v>1525741.5746078999</v>
      </c>
      <c r="H21" s="209">
        <f>H20*'Development Schedule'!I10</f>
        <v>1556256.4061000582</v>
      </c>
      <c r="I21" s="209">
        <f>I20*'Development Schedule'!J10</f>
        <v>0</v>
      </c>
      <c r="J21" s="196">
        <f>J20*'Development Schedule'!K10</f>
        <v>351110.13288784795</v>
      </c>
      <c r="K21" s="196">
        <f>K20*'Development Schedule'!L10</f>
        <v>358132.33554560499</v>
      </c>
      <c r="L21" s="196">
        <f>L20*'Development Schedule'!M10</f>
        <v>0</v>
      </c>
      <c r="M21" s="196">
        <f>M20*'Development Schedule'!N10</f>
        <v>0</v>
      </c>
      <c r="N21" s="1">
        <f>SUM(C21:M21)</f>
        <v>7095768.3641414111</v>
      </c>
    </row>
    <row r="22" spans="1:14" ht="18" customHeight="1" x14ac:dyDescent="0.2">
      <c r="A22" s="25" t="s">
        <v>15</v>
      </c>
      <c r="B22" s="314"/>
      <c r="C22" s="647"/>
      <c r="D22" s="718"/>
      <c r="E22" s="718"/>
      <c r="F22" s="718"/>
      <c r="G22" s="719"/>
      <c r="H22" s="719"/>
      <c r="I22" s="719"/>
      <c r="J22" s="694"/>
      <c r="K22" s="694"/>
      <c r="L22" s="694"/>
      <c r="M22" s="694"/>
    </row>
    <row r="23" spans="1:14" ht="14.1" customHeight="1" x14ac:dyDescent="0.2">
      <c r="A23" s="49" t="s">
        <v>3</v>
      </c>
      <c r="B23" s="717"/>
      <c r="C23" s="720">
        <f>SUM(C21:C22)</f>
        <v>0</v>
      </c>
      <c r="D23" s="632">
        <f t="shared" ref="D23:M23" si="11">SUM(D21:D22)</f>
        <v>3304527.915</v>
      </c>
      <c r="E23" s="632">
        <f t="shared" si="11"/>
        <v>0</v>
      </c>
      <c r="F23" s="632">
        <f t="shared" si="11"/>
        <v>0</v>
      </c>
      <c r="G23" s="633">
        <f t="shared" si="11"/>
        <v>1525741.5746078999</v>
      </c>
      <c r="H23" s="633">
        <f t="shared" si="11"/>
        <v>1556256.4061000582</v>
      </c>
      <c r="I23" s="633">
        <f t="shared" si="11"/>
        <v>0</v>
      </c>
      <c r="J23" s="634">
        <f t="shared" si="11"/>
        <v>351110.13288784795</v>
      </c>
      <c r="K23" s="634">
        <f t="shared" si="11"/>
        <v>358132.33554560499</v>
      </c>
      <c r="L23" s="634">
        <f t="shared" si="11"/>
        <v>0</v>
      </c>
      <c r="M23" s="634">
        <f t="shared" si="11"/>
        <v>0</v>
      </c>
    </row>
    <row r="24" spans="1:14" ht="14.1" customHeight="1" x14ac:dyDescent="0.2">
      <c r="A24" s="42" t="s">
        <v>4</v>
      </c>
      <c r="B24" s="309"/>
      <c r="C24" s="215"/>
      <c r="D24" s="177"/>
      <c r="E24" s="177"/>
      <c r="F24" s="177"/>
      <c r="G24" s="204"/>
      <c r="H24" s="204"/>
      <c r="I24" s="204"/>
      <c r="J24" s="191"/>
      <c r="K24" s="191"/>
      <c r="L24" s="191"/>
      <c r="M24" s="191"/>
    </row>
    <row r="25" spans="1:14" ht="14.1" customHeight="1" x14ac:dyDescent="0.2">
      <c r="A25" s="25" t="s">
        <v>5</v>
      </c>
      <c r="B25" s="310"/>
      <c r="C25" s="220">
        <f>C17</f>
        <v>0</v>
      </c>
      <c r="D25" s="182">
        <f t="shared" ref="D25:M25" si="12">D17</f>
        <v>178180.95859905597</v>
      </c>
      <c r="E25" s="182">
        <f t="shared" si="12"/>
        <v>181744.57777103709</v>
      </c>
      <c r="F25" s="182">
        <f t="shared" si="12"/>
        <v>185379.46932645777</v>
      </c>
      <c r="G25" s="209">
        <f t="shared" si="12"/>
        <v>271355.41998300178</v>
      </c>
      <c r="H25" s="209">
        <f t="shared" si="12"/>
        <v>360696.25687807694</v>
      </c>
      <c r="I25" s="209">
        <f t="shared" si="12"/>
        <v>367910.18201563851</v>
      </c>
      <c r="J25" s="196">
        <f t="shared" si="12"/>
        <v>394200.33044837357</v>
      </c>
      <c r="K25" s="196">
        <f t="shared" si="12"/>
        <v>421394.92074561195</v>
      </c>
      <c r="L25" s="196">
        <f t="shared" si="12"/>
        <v>429822.81916052412</v>
      </c>
      <c r="M25" s="196">
        <f t="shared" si="12"/>
        <v>438419.27554373455</v>
      </c>
    </row>
    <row r="26" spans="1:14" ht="14.1" customHeight="1" x14ac:dyDescent="0.2">
      <c r="A26" s="159" t="s">
        <v>102</v>
      </c>
      <c r="B26" s="316">
        <v>3.7499999999999999E-2</v>
      </c>
      <c r="C26" s="221">
        <f>C25/$B$26</f>
        <v>0</v>
      </c>
      <c r="D26" s="183"/>
      <c r="E26" s="183"/>
      <c r="F26" s="183"/>
      <c r="G26" s="210"/>
      <c r="H26" s="210"/>
      <c r="I26" s="210"/>
      <c r="J26" s="197"/>
      <c r="K26" s="197"/>
      <c r="L26" s="197"/>
      <c r="M26" s="197">
        <f>M25/$B$26</f>
        <v>11691180.681166256</v>
      </c>
    </row>
    <row r="27" spans="1:14" ht="18" customHeight="1" x14ac:dyDescent="0.2">
      <c r="A27" s="159" t="s">
        <v>103</v>
      </c>
      <c r="B27" s="317">
        <v>0.05</v>
      </c>
      <c r="C27" s="222">
        <f>C26*(-$B$27)</f>
        <v>0</v>
      </c>
      <c r="D27" s="183">
        <f t="shared" ref="D27:J27" si="13">D26*(-$B$27)</f>
        <v>0</v>
      </c>
      <c r="E27" s="183">
        <f t="shared" si="13"/>
        <v>0</v>
      </c>
      <c r="F27" s="183">
        <f t="shared" si="13"/>
        <v>0</v>
      </c>
      <c r="G27" s="210">
        <f t="shared" si="13"/>
        <v>0</v>
      </c>
      <c r="H27" s="210">
        <f t="shared" si="13"/>
        <v>0</v>
      </c>
      <c r="I27" s="210">
        <f t="shared" si="13"/>
        <v>0</v>
      </c>
      <c r="J27" s="197">
        <f t="shared" si="13"/>
        <v>0</v>
      </c>
      <c r="K27" s="197">
        <f t="shared" ref="K27" si="14">K26*(-$B$27)</f>
        <v>0</v>
      </c>
      <c r="L27" s="197">
        <f t="shared" ref="L27" si="15">L26*(-$B$27)</f>
        <v>0</v>
      </c>
      <c r="M27" s="197">
        <f t="shared" ref="M27" si="16">M26*(-$B$27)</f>
        <v>-584559.03405831277</v>
      </c>
    </row>
    <row r="28" spans="1:14" ht="18" customHeight="1" x14ac:dyDescent="0.2">
      <c r="A28" s="49" t="s">
        <v>3</v>
      </c>
      <c r="B28" s="312"/>
      <c r="C28" s="219">
        <f>C23</f>
        <v>0</v>
      </c>
      <c r="D28" s="280">
        <f>-D23</f>
        <v>-3304527.915</v>
      </c>
      <c r="E28" s="280">
        <f t="shared" ref="E28:M28" si="17">-E23</f>
        <v>0</v>
      </c>
      <c r="F28" s="280">
        <f t="shared" si="17"/>
        <v>0</v>
      </c>
      <c r="G28" s="286">
        <f t="shared" si="17"/>
        <v>-1525741.5746078999</v>
      </c>
      <c r="H28" s="286">
        <f t="shared" si="17"/>
        <v>-1556256.4061000582</v>
      </c>
      <c r="I28" s="286">
        <f t="shared" si="17"/>
        <v>0</v>
      </c>
      <c r="J28" s="292">
        <f t="shared" si="17"/>
        <v>-351110.13288784795</v>
      </c>
      <c r="K28" s="292">
        <f t="shared" si="17"/>
        <v>-358132.33554560499</v>
      </c>
      <c r="L28" s="292">
        <f t="shared" si="17"/>
        <v>0</v>
      </c>
      <c r="M28" s="292">
        <f t="shared" si="17"/>
        <v>0</v>
      </c>
    </row>
    <row r="29" spans="1:14" ht="18" customHeight="1" x14ac:dyDescent="0.2">
      <c r="A29" s="160" t="s">
        <v>6</v>
      </c>
      <c r="B29" s="318"/>
      <c r="C29" s="301">
        <f>SUM(C25:C28)</f>
        <v>0</v>
      </c>
      <c r="D29" s="281">
        <f t="shared" ref="D29:J29" si="18">SUM(D25:D28)</f>
        <v>-3126346.9564009439</v>
      </c>
      <c r="E29" s="281">
        <f t="shared" si="18"/>
        <v>181744.57777103709</v>
      </c>
      <c r="F29" s="281">
        <f t="shared" si="18"/>
        <v>185379.46932645777</v>
      </c>
      <c r="G29" s="287">
        <f t="shared" si="18"/>
        <v>-1254386.154624898</v>
      </c>
      <c r="H29" s="287">
        <f t="shared" si="18"/>
        <v>-1195560.1492219814</v>
      </c>
      <c r="I29" s="287">
        <f t="shared" si="18"/>
        <v>367910.18201563851</v>
      </c>
      <c r="J29" s="293">
        <f t="shared" si="18"/>
        <v>43090.197560525616</v>
      </c>
      <c r="K29" s="293">
        <f t="shared" ref="K29" si="19">SUM(K25:K28)</f>
        <v>63262.585200006957</v>
      </c>
      <c r="L29" s="293">
        <f t="shared" ref="L29" si="20">SUM(L25:L28)</f>
        <v>429822.81916052412</v>
      </c>
      <c r="M29" s="293">
        <f t="shared" ref="M29" si="21">SUM(M25:M28)</f>
        <v>11545040.922651678</v>
      </c>
    </row>
    <row r="30" spans="1:14" ht="18" customHeight="1" x14ac:dyDescent="0.2">
      <c r="A30" s="161" t="s">
        <v>39</v>
      </c>
      <c r="B30" s="304">
        <v>0.09</v>
      </c>
      <c r="C30" s="223">
        <f>C29+(NPV(B30,D29:M29))</f>
        <v>1111585.0910491883</v>
      </c>
      <c r="D30" s="173"/>
      <c r="E30" s="173"/>
      <c r="F30" s="173"/>
      <c r="G30" s="199"/>
      <c r="H30" s="199"/>
      <c r="I30" s="199"/>
      <c r="J30" s="186"/>
      <c r="K30" s="186"/>
      <c r="L30" s="186"/>
      <c r="M30" s="186"/>
    </row>
    <row r="31" spans="1:14" x14ac:dyDescent="0.2">
      <c r="A31" s="50" t="s">
        <v>105</v>
      </c>
      <c r="B31" s="708"/>
      <c r="C31" s="707">
        <f>IRR(C29:M29)</f>
        <v>0.12415171857868046</v>
      </c>
      <c r="D31" s="181"/>
      <c r="E31" s="181"/>
      <c r="F31" s="181"/>
      <c r="G31" s="208"/>
      <c r="H31" s="208"/>
      <c r="I31" s="208"/>
      <c r="J31" s="195"/>
      <c r="K31" s="195"/>
      <c r="L31" s="195"/>
      <c r="M31" s="195"/>
    </row>
    <row r="32" spans="1:14" x14ac:dyDescent="0.2">
      <c r="A32" s="50" t="s">
        <v>90</v>
      </c>
      <c r="B32" s="708"/>
      <c r="C32" s="631"/>
      <c r="D32" s="181"/>
      <c r="E32" s="181"/>
      <c r="F32" s="181"/>
      <c r="G32" s="208"/>
      <c r="H32" s="208"/>
      <c r="I32" s="208"/>
      <c r="J32" s="195"/>
      <c r="K32" s="195"/>
      <c r="L32" s="195"/>
      <c r="M32" s="195"/>
    </row>
    <row r="34" spans="2:2" x14ac:dyDescent="0.2">
      <c r="B34" s="54"/>
    </row>
  </sheetData>
  <phoneticPr fontId="2" type="noConversion"/>
  <pageMargins left="0.5" right="0.5" top="1" bottom="0.5" header="0.5" footer="0.5"/>
  <pageSetup orientation="landscape" r:id="rId1"/>
  <headerFooter alignWithMargins="0">
    <oddHeader>&amp;L&amp;"Arial,Bold"4. Income Statement: Affordable Rental Housing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zoomScale="94" zoomScaleNormal="100" workbookViewId="0">
      <selection activeCell="F37" sqref="F37"/>
    </sheetView>
  </sheetViews>
  <sheetFormatPr defaultColWidth="9.140625" defaultRowHeight="12.75" x14ac:dyDescent="0.2"/>
  <cols>
    <col min="1" max="1" width="23.140625" style="1" customWidth="1"/>
    <col min="2" max="3" width="14.7109375" style="3" customWidth="1"/>
    <col min="4" max="13" width="14.7109375" style="1" customWidth="1"/>
    <col min="14" max="14" width="13.140625" style="1" bestFit="1" customWidth="1"/>
    <col min="15" max="16384" width="9.140625" style="1"/>
  </cols>
  <sheetData>
    <row r="1" spans="1:14" ht="14.1" customHeight="1" x14ac:dyDescent="0.2">
      <c r="A1" s="38" t="s">
        <v>71</v>
      </c>
      <c r="B1" s="39">
        <v>198923</v>
      </c>
    </row>
    <row r="2" spans="1:14" ht="14.1" customHeight="1" thickBot="1" x14ac:dyDescent="0.25">
      <c r="B2" s="48"/>
      <c r="C2" s="48">
        <v>0</v>
      </c>
      <c r="D2" s="46">
        <v>1</v>
      </c>
      <c r="E2" s="48">
        <v>2</v>
      </c>
      <c r="F2" s="46">
        <v>3</v>
      </c>
      <c r="G2" s="48">
        <v>4</v>
      </c>
      <c r="H2" s="46">
        <v>5</v>
      </c>
      <c r="I2" s="48">
        <v>6</v>
      </c>
      <c r="J2" s="46">
        <v>7</v>
      </c>
      <c r="K2" s="48">
        <v>8</v>
      </c>
      <c r="L2" s="46">
        <v>9</v>
      </c>
      <c r="M2" s="48">
        <v>10</v>
      </c>
    </row>
    <row r="3" spans="1:14" ht="14.1" customHeight="1" x14ac:dyDescent="0.2">
      <c r="B3" s="137"/>
      <c r="C3" s="126" t="s">
        <v>100</v>
      </c>
      <c r="D3" s="127" t="s">
        <v>56</v>
      </c>
      <c r="E3" s="128"/>
      <c r="F3" s="127"/>
      <c r="G3" s="127" t="s">
        <v>124</v>
      </c>
      <c r="H3" s="127"/>
      <c r="I3" s="127"/>
      <c r="J3" s="127" t="s">
        <v>125</v>
      </c>
      <c r="K3" s="127"/>
      <c r="L3" s="127"/>
      <c r="M3" s="129"/>
    </row>
    <row r="4" spans="1:14" ht="14.1" customHeight="1" x14ac:dyDescent="0.2">
      <c r="A4" s="5"/>
      <c r="B4" s="147" t="s">
        <v>28</v>
      </c>
      <c r="C4" s="148" t="s">
        <v>118</v>
      </c>
      <c r="D4" s="149">
        <v>2021</v>
      </c>
      <c r="E4" s="106">
        <f>D4+1</f>
        <v>2022</v>
      </c>
      <c r="F4" s="106">
        <f t="shared" ref="F4:M4" si="0">E4+1</f>
        <v>2023</v>
      </c>
      <c r="G4" s="106">
        <f t="shared" si="0"/>
        <v>2024</v>
      </c>
      <c r="H4" s="106">
        <f t="shared" si="0"/>
        <v>2025</v>
      </c>
      <c r="I4" s="106">
        <f t="shared" si="0"/>
        <v>2026</v>
      </c>
      <c r="J4" s="106">
        <f t="shared" si="0"/>
        <v>2027</v>
      </c>
      <c r="K4" s="106">
        <f t="shared" si="0"/>
        <v>2028</v>
      </c>
      <c r="L4" s="106">
        <f t="shared" si="0"/>
        <v>2029</v>
      </c>
      <c r="M4" s="150">
        <f t="shared" si="0"/>
        <v>2030</v>
      </c>
      <c r="N4" s="1" t="s">
        <v>243</v>
      </c>
    </row>
    <row r="5" spans="1:14" ht="18" customHeight="1" x14ac:dyDescent="0.2">
      <c r="A5" s="42" t="s">
        <v>11</v>
      </c>
      <c r="B5" s="303"/>
      <c r="C5" s="211"/>
      <c r="D5" s="276"/>
      <c r="E5" s="276"/>
      <c r="F5" s="276"/>
      <c r="G5" s="282"/>
      <c r="H5" s="282"/>
      <c r="I5" s="282"/>
      <c r="J5" s="288"/>
      <c r="K5" s="288"/>
      <c r="L5" s="288"/>
      <c r="M5" s="288"/>
    </row>
    <row r="6" spans="1:14" ht="14.1" customHeight="1" x14ac:dyDescent="0.2">
      <c r="A6" s="25" t="s">
        <v>12</v>
      </c>
      <c r="B6" s="304">
        <v>0.02</v>
      </c>
      <c r="C6" s="294">
        <f>1+B6</f>
        <v>1.02</v>
      </c>
      <c r="D6" s="277">
        <f>C6*(1+$B$6)</f>
        <v>1.0404</v>
      </c>
      <c r="E6" s="277">
        <f t="shared" ref="E6:M6" si="1">D6*(1+$B$6)</f>
        <v>1.0612079999999999</v>
      </c>
      <c r="F6" s="277">
        <f t="shared" si="1"/>
        <v>1.08243216</v>
      </c>
      <c r="G6" s="283">
        <f t="shared" si="1"/>
        <v>1.1040808032</v>
      </c>
      <c r="H6" s="283">
        <f t="shared" si="1"/>
        <v>1.1261624192640001</v>
      </c>
      <c r="I6" s="283">
        <f t="shared" si="1"/>
        <v>1.14868566764928</v>
      </c>
      <c r="J6" s="289">
        <f t="shared" si="1"/>
        <v>1.1716593810022657</v>
      </c>
      <c r="K6" s="289">
        <f t="shared" si="1"/>
        <v>1.1950925686223111</v>
      </c>
      <c r="L6" s="289">
        <f t="shared" si="1"/>
        <v>1.2189944199947573</v>
      </c>
      <c r="M6" s="289">
        <f t="shared" si="1"/>
        <v>1.2433743083946525</v>
      </c>
    </row>
    <row r="7" spans="1:14" ht="14.1" customHeight="1" x14ac:dyDescent="0.2">
      <c r="A7" s="25" t="s">
        <v>139</v>
      </c>
      <c r="B7" s="319"/>
      <c r="C7" s="295">
        <f>'Development Schedule'!D37/$B$9</f>
        <v>0</v>
      </c>
      <c r="D7" s="278">
        <f>'Development Schedule'!E37/$B$9</f>
        <v>31.225627983293553</v>
      </c>
      <c r="E7" s="278">
        <f>'Development Schedule'!F37/$B$9</f>
        <v>31.225627983293553</v>
      </c>
      <c r="F7" s="278">
        <f>'Development Schedule'!G37/$B$9</f>
        <v>0</v>
      </c>
      <c r="G7" s="284">
        <f>'Development Schedule'!H37/$B$9</f>
        <v>27.171412589498807</v>
      </c>
      <c r="H7" s="284">
        <f>'Development Schedule'!I37/$B$9</f>
        <v>27.171412589498807</v>
      </c>
      <c r="I7" s="284">
        <f>'Development Schedule'!J37/$B$9</f>
        <v>0</v>
      </c>
      <c r="J7" s="290">
        <f>'Development Schedule'!K37/$B$9</f>
        <v>5.8921539379474943</v>
      </c>
      <c r="K7" s="290">
        <f>'Development Schedule'!L37/$B$9</f>
        <v>5.8921539379474943</v>
      </c>
      <c r="L7" s="290">
        <f>'Development Schedule'!M37/$B$9</f>
        <v>0</v>
      </c>
      <c r="M7" s="290">
        <f>'Development Schedule'!N37/$B$9</f>
        <v>0</v>
      </c>
    </row>
    <row r="8" spans="1:14" ht="14.1" customHeight="1" x14ac:dyDescent="0.2">
      <c r="A8" s="25" t="s">
        <v>142</v>
      </c>
      <c r="B8" s="320"/>
      <c r="C8" s="322"/>
      <c r="D8" s="172">
        <f>D7*$B$13</f>
        <v>28.727577744630068</v>
      </c>
      <c r="E8" s="172">
        <f t="shared" ref="E8:M8" si="2">E7*$B$13</f>
        <v>28.727577744630068</v>
      </c>
      <c r="F8" s="172">
        <f t="shared" si="2"/>
        <v>0</v>
      </c>
      <c r="G8" s="198">
        <f t="shared" si="2"/>
        <v>24.997699582338903</v>
      </c>
      <c r="H8" s="198">
        <f t="shared" si="2"/>
        <v>24.997699582338903</v>
      </c>
      <c r="I8" s="198">
        <f t="shared" si="2"/>
        <v>0</v>
      </c>
      <c r="J8" s="185">
        <f t="shared" si="2"/>
        <v>5.4207816229116954</v>
      </c>
      <c r="K8" s="185">
        <f t="shared" si="2"/>
        <v>5.4207816229116954</v>
      </c>
      <c r="L8" s="185">
        <f t="shared" si="2"/>
        <v>0</v>
      </c>
      <c r="M8" s="185">
        <f t="shared" si="2"/>
        <v>0</v>
      </c>
    </row>
    <row r="9" spans="1:14" ht="14.1" customHeight="1" x14ac:dyDescent="0.2">
      <c r="A9" s="25" t="s">
        <v>58</v>
      </c>
      <c r="B9" s="307">
        <v>838</v>
      </c>
      <c r="C9" s="212"/>
      <c r="D9" s="173"/>
      <c r="E9" s="173"/>
      <c r="F9" s="173"/>
      <c r="G9" s="199"/>
      <c r="H9" s="199"/>
      <c r="I9" s="199"/>
      <c r="J9" s="186"/>
      <c r="K9" s="186"/>
      <c r="L9" s="186"/>
      <c r="M9" s="186"/>
    </row>
    <row r="10" spans="1:14" ht="14.1" customHeight="1" x14ac:dyDescent="0.2">
      <c r="A10" s="25" t="s">
        <v>63</v>
      </c>
      <c r="B10" s="320"/>
      <c r="C10" s="213">
        <f>C8*$B$9</f>
        <v>0</v>
      </c>
      <c r="D10" s="174">
        <f t="shared" ref="D10:M10" si="3">D8*$B$9</f>
        <v>24073.710149999995</v>
      </c>
      <c r="E10" s="174">
        <f t="shared" si="3"/>
        <v>24073.710149999995</v>
      </c>
      <c r="F10" s="174">
        <f t="shared" si="3"/>
        <v>0</v>
      </c>
      <c r="G10" s="200">
        <f t="shared" si="3"/>
        <v>20948.072250000001</v>
      </c>
      <c r="H10" s="200">
        <f t="shared" si="3"/>
        <v>20948.072250000001</v>
      </c>
      <c r="I10" s="200">
        <f t="shared" si="3"/>
        <v>0</v>
      </c>
      <c r="J10" s="187">
        <f t="shared" si="3"/>
        <v>4542.6150000000007</v>
      </c>
      <c r="K10" s="187">
        <f t="shared" si="3"/>
        <v>4542.6150000000007</v>
      </c>
      <c r="L10" s="187">
        <f t="shared" si="3"/>
        <v>0</v>
      </c>
      <c r="M10" s="187">
        <f t="shared" si="3"/>
        <v>0</v>
      </c>
    </row>
    <row r="11" spans="1:14" ht="14.1" customHeight="1" x14ac:dyDescent="0.2">
      <c r="A11" s="25" t="s">
        <v>244</v>
      </c>
      <c r="B11" s="320"/>
      <c r="C11" s="214">
        <f>C8</f>
        <v>0</v>
      </c>
      <c r="D11" s="175">
        <f>SUM($C$8:D8)</f>
        <v>28.727577744630068</v>
      </c>
      <c r="E11" s="175">
        <f>SUM($C$8:E8)</f>
        <v>57.455155489260136</v>
      </c>
      <c r="F11" s="175">
        <f>SUM($C$8:F8)</f>
        <v>57.455155489260136</v>
      </c>
      <c r="G11" s="201">
        <f>SUM($C$8:G8)</f>
        <v>82.452855071599032</v>
      </c>
      <c r="H11" s="201">
        <f>SUM($C$8:H8)</f>
        <v>107.45055465393793</v>
      </c>
      <c r="I11" s="201">
        <f>SUM($C$8:I8)</f>
        <v>107.45055465393793</v>
      </c>
      <c r="J11" s="188">
        <f>SUM($C$8:J8)</f>
        <v>112.87133627684962</v>
      </c>
      <c r="K11" s="188">
        <f>SUM($C$8:K8)</f>
        <v>118.29211789976131</v>
      </c>
      <c r="L11" s="188">
        <f>SUM($C$8:L8)</f>
        <v>118.29211789976131</v>
      </c>
      <c r="M11" s="188">
        <f>SUM($C$8:M8)</f>
        <v>118.29211789976131</v>
      </c>
    </row>
    <row r="12" spans="1:14" ht="18" customHeight="1" x14ac:dyDescent="0.2">
      <c r="A12" s="25" t="s">
        <v>64</v>
      </c>
      <c r="B12" s="307">
        <v>250</v>
      </c>
      <c r="C12" s="297">
        <f>$B$12*((1+$B$6)^C2)</f>
        <v>250</v>
      </c>
      <c r="D12" s="176">
        <f>$B$12*((1+$B$6)^D2)</f>
        <v>255</v>
      </c>
      <c r="E12" s="176">
        <f t="shared" ref="E12:M12" si="4">$B$12*((1+$B$6)^E2)</f>
        <v>260.10000000000002</v>
      </c>
      <c r="F12" s="176">
        <f t="shared" si="4"/>
        <v>265.30199999999996</v>
      </c>
      <c r="G12" s="202">
        <f t="shared" si="4"/>
        <v>270.60804000000002</v>
      </c>
      <c r="H12" s="202">
        <f t="shared" si="4"/>
        <v>276.0202008</v>
      </c>
      <c r="I12" s="202">
        <f t="shared" si="4"/>
        <v>281.54060481600004</v>
      </c>
      <c r="J12" s="189">
        <f t="shared" si="4"/>
        <v>287.17141691231996</v>
      </c>
      <c r="K12" s="189">
        <f t="shared" si="4"/>
        <v>292.91484525056637</v>
      </c>
      <c r="L12" s="189">
        <f t="shared" si="4"/>
        <v>298.77314215557772</v>
      </c>
      <c r="M12" s="189">
        <f t="shared" si="4"/>
        <v>304.7486049986893</v>
      </c>
    </row>
    <row r="13" spans="1:14" ht="14.1" customHeight="1" thickBot="1" x14ac:dyDescent="0.25">
      <c r="A13" s="36" t="s">
        <v>61</v>
      </c>
      <c r="B13" s="308">
        <v>0.92</v>
      </c>
      <c r="C13" s="323">
        <f>B13</f>
        <v>0.92</v>
      </c>
      <c r="D13" s="325">
        <f t="shared" ref="D13:M13" si="5">C13</f>
        <v>0.92</v>
      </c>
      <c r="E13" s="325">
        <f t="shared" si="5"/>
        <v>0.92</v>
      </c>
      <c r="F13" s="325">
        <f t="shared" si="5"/>
        <v>0.92</v>
      </c>
      <c r="G13" s="326">
        <f t="shared" si="5"/>
        <v>0.92</v>
      </c>
      <c r="H13" s="326">
        <f t="shared" si="5"/>
        <v>0.92</v>
      </c>
      <c r="I13" s="326">
        <f t="shared" si="5"/>
        <v>0.92</v>
      </c>
      <c r="J13" s="327">
        <f t="shared" si="5"/>
        <v>0.92</v>
      </c>
      <c r="K13" s="327">
        <f t="shared" si="5"/>
        <v>0.92</v>
      </c>
      <c r="L13" s="327">
        <f t="shared" si="5"/>
        <v>0.92</v>
      </c>
      <c r="M13" s="327">
        <f t="shared" si="5"/>
        <v>0.92</v>
      </c>
    </row>
    <row r="14" spans="1:14" ht="14.1" customHeight="1" x14ac:dyDescent="0.2">
      <c r="A14" s="42" t="s">
        <v>0</v>
      </c>
      <c r="B14" s="328"/>
      <c r="C14" s="215"/>
      <c r="D14" s="177"/>
      <c r="E14" s="177"/>
      <c r="F14" s="177"/>
      <c r="G14" s="204"/>
      <c r="H14" s="204"/>
      <c r="I14" s="204"/>
      <c r="J14" s="191"/>
      <c r="K14" s="191"/>
      <c r="L14" s="191"/>
      <c r="M14" s="191"/>
    </row>
    <row r="15" spans="1:14" ht="14.1" customHeight="1" x14ac:dyDescent="0.2">
      <c r="A15" s="25" t="s">
        <v>143</v>
      </c>
      <c r="B15" s="307"/>
      <c r="C15" s="216">
        <f>C12*$B$9*C8</f>
        <v>0</v>
      </c>
      <c r="D15" s="364">
        <f t="shared" ref="D15:M15" si="6">D12*$B$9*D8</f>
        <v>6138796.0882499991</v>
      </c>
      <c r="E15" s="364">
        <f t="shared" si="6"/>
        <v>6261572.0100149997</v>
      </c>
      <c r="F15" s="364">
        <f t="shared" si="6"/>
        <v>0</v>
      </c>
      <c r="G15" s="357">
        <f t="shared" si="6"/>
        <v>5668716.7733508907</v>
      </c>
      <c r="H15" s="357">
        <f t="shared" si="6"/>
        <v>5782091.108817908</v>
      </c>
      <c r="I15" s="357">
        <f t="shared" si="6"/>
        <v>0</v>
      </c>
      <c r="J15" s="351">
        <f t="shared" si="6"/>
        <v>1304509.1860371584</v>
      </c>
      <c r="K15" s="351">
        <f t="shared" si="6"/>
        <v>1330599.3697579019</v>
      </c>
      <c r="L15" s="351">
        <f t="shared" si="6"/>
        <v>0</v>
      </c>
      <c r="M15" s="351">
        <f t="shared" si="6"/>
        <v>0</v>
      </c>
      <c r="N15" s="479">
        <f>SUM(C15:M15)</f>
        <v>26486284.536228858</v>
      </c>
    </row>
    <row r="16" spans="1:14" ht="14.1" customHeight="1" x14ac:dyDescent="0.2">
      <c r="A16" s="25" t="s">
        <v>62</v>
      </c>
      <c r="B16" s="311">
        <v>0.28000000000000003</v>
      </c>
      <c r="C16" s="216">
        <f>C15*(-$B$16)</f>
        <v>0</v>
      </c>
      <c r="D16" s="364">
        <f t="shared" ref="D16:M16" si="7">D15*(-$B$16)</f>
        <v>-1718862.9047099999</v>
      </c>
      <c r="E16" s="364">
        <f t="shared" si="7"/>
        <v>-1753240.1628042001</v>
      </c>
      <c r="F16" s="364">
        <f t="shared" si="7"/>
        <v>0</v>
      </c>
      <c r="G16" s="357">
        <f t="shared" si="7"/>
        <v>-1587240.6965382495</v>
      </c>
      <c r="H16" s="357">
        <f t="shared" si="7"/>
        <v>-1618985.5104690143</v>
      </c>
      <c r="I16" s="357">
        <f t="shared" si="7"/>
        <v>0</v>
      </c>
      <c r="J16" s="351">
        <f t="shared" si="7"/>
        <v>-365262.5720904044</v>
      </c>
      <c r="K16" s="351">
        <f t="shared" si="7"/>
        <v>-372567.82353221258</v>
      </c>
      <c r="L16" s="351">
        <f t="shared" si="7"/>
        <v>0</v>
      </c>
      <c r="M16" s="351">
        <f t="shared" si="7"/>
        <v>0</v>
      </c>
      <c r="N16" s="479">
        <f>SUM(C16:M16)</f>
        <v>-7416159.6701440793</v>
      </c>
    </row>
    <row r="17" spans="1:14" ht="18" customHeight="1" x14ac:dyDescent="0.2">
      <c r="A17" s="49" t="s">
        <v>5</v>
      </c>
      <c r="B17" s="630"/>
      <c r="C17" s="697">
        <f>SUM(C15:C16)</f>
        <v>0</v>
      </c>
      <c r="D17" s="710">
        <f t="shared" ref="D17:M17" si="8">SUM(D15:D16)</f>
        <v>4419933.1835399996</v>
      </c>
      <c r="E17" s="710">
        <f t="shared" si="8"/>
        <v>4508331.8472107993</v>
      </c>
      <c r="F17" s="710">
        <f t="shared" si="8"/>
        <v>0</v>
      </c>
      <c r="G17" s="711">
        <f t="shared" si="8"/>
        <v>4081476.0768126412</v>
      </c>
      <c r="H17" s="711">
        <f t="shared" si="8"/>
        <v>4163105.5983488937</v>
      </c>
      <c r="I17" s="711">
        <f t="shared" si="8"/>
        <v>0</v>
      </c>
      <c r="J17" s="712">
        <f t="shared" si="8"/>
        <v>939246.61394675402</v>
      </c>
      <c r="K17" s="712">
        <f t="shared" si="8"/>
        <v>958031.54622568935</v>
      </c>
      <c r="L17" s="712">
        <f t="shared" si="8"/>
        <v>0</v>
      </c>
      <c r="M17" s="712">
        <f t="shared" si="8"/>
        <v>0</v>
      </c>
      <c r="N17" s="479">
        <f>SUM(N15:N16)</f>
        <v>19070124.866084777</v>
      </c>
    </row>
    <row r="18" spans="1:14" ht="14.1" customHeight="1" x14ac:dyDescent="0.2">
      <c r="A18" s="42" t="s">
        <v>2</v>
      </c>
      <c r="B18" s="328"/>
      <c r="C18" s="215"/>
      <c r="D18" s="177"/>
      <c r="E18" s="177"/>
      <c r="F18" s="177"/>
      <c r="G18" s="204"/>
      <c r="H18" s="204"/>
      <c r="I18" s="204"/>
      <c r="J18" s="191"/>
      <c r="K18" s="191"/>
      <c r="L18" s="191"/>
      <c r="M18" s="191"/>
      <c r="N18" s="479"/>
    </row>
    <row r="19" spans="1:14" ht="14.1" customHeight="1" x14ac:dyDescent="0.2">
      <c r="A19" s="25" t="s">
        <v>14</v>
      </c>
      <c r="B19" s="307"/>
      <c r="C19" s="218">
        <f>C21/$N$21</f>
        <v>0</v>
      </c>
      <c r="D19" s="180">
        <f t="shared" ref="D19:M19" si="9">D21/$N$21</f>
        <v>0.23177263990550062</v>
      </c>
      <c r="E19" s="180">
        <f t="shared" si="9"/>
        <v>0.23640809270361063</v>
      </c>
      <c r="F19" s="180">
        <f t="shared" si="9"/>
        <v>0</v>
      </c>
      <c r="G19" s="207">
        <f t="shared" si="9"/>
        <v>0.21402461208166146</v>
      </c>
      <c r="H19" s="207">
        <f t="shared" si="9"/>
        <v>0.21830510432329467</v>
      </c>
      <c r="I19" s="207">
        <f t="shared" si="9"/>
        <v>0</v>
      </c>
      <c r="J19" s="194">
        <f t="shared" si="9"/>
        <v>4.9252252963332979E-2</v>
      </c>
      <c r="K19" s="194">
        <f t="shared" si="9"/>
        <v>5.0237298022599637E-2</v>
      </c>
      <c r="L19" s="194">
        <f t="shared" si="9"/>
        <v>0</v>
      </c>
      <c r="M19" s="194">
        <f t="shared" si="9"/>
        <v>0</v>
      </c>
      <c r="N19" s="479"/>
    </row>
    <row r="20" spans="1:14" ht="14.1" customHeight="1" x14ac:dyDescent="0.2">
      <c r="A20" s="25" t="s">
        <v>141</v>
      </c>
      <c r="B20" s="313">
        <v>250</v>
      </c>
      <c r="C20" s="299">
        <f>$B$20*((1+$B$6)^C2)</f>
        <v>250</v>
      </c>
      <c r="D20" s="108">
        <f>$B$20*((1+$B$6)^D2)</f>
        <v>255</v>
      </c>
      <c r="E20" s="108">
        <f t="shared" ref="E20:M20" si="10">$B$20*((1+$B$6)^E2)</f>
        <v>260.10000000000002</v>
      </c>
      <c r="F20" s="108">
        <f t="shared" si="10"/>
        <v>265.30199999999996</v>
      </c>
      <c r="G20" s="111">
        <f t="shared" si="10"/>
        <v>270.60804000000002</v>
      </c>
      <c r="H20" s="111">
        <f t="shared" si="10"/>
        <v>276.0202008</v>
      </c>
      <c r="I20" s="111">
        <f t="shared" si="10"/>
        <v>281.54060481600004</v>
      </c>
      <c r="J20" s="114">
        <f t="shared" si="10"/>
        <v>287.17141691231996</v>
      </c>
      <c r="K20" s="114">
        <f t="shared" si="10"/>
        <v>292.91484525056637</v>
      </c>
      <c r="L20" s="114">
        <f t="shared" si="10"/>
        <v>298.77314215557772</v>
      </c>
      <c r="M20" s="114">
        <f t="shared" si="10"/>
        <v>304.7486049986893</v>
      </c>
      <c r="N20" s="479"/>
    </row>
    <row r="21" spans="1:14" ht="14.1" customHeight="1" x14ac:dyDescent="0.2">
      <c r="A21" s="25" t="s">
        <v>2</v>
      </c>
      <c r="B21" s="313"/>
      <c r="C21" s="647">
        <f>C20*'Development Schedule'!D12</f>
        <v>0</v>
      </c>
      <c r="D21" s="182">
        <f>D20*'Development Schedule'!E12</f>
        <v>9532292.0625000019</v>
      </c>
      <c r="E21" s="182">
        <f>E20*'Development Schedule'!F12</f>
        <v>9722937.9037500024</v>
      </c>
      <c r="F21" s="182">
        <f>F20*'Development Schedule'!G12</f>
        <v>0</v>
      </c>
      <c r="G21" s="209">
        <f>G20*'Development Schedule'!H12</f>
        <v>8802355.2381225005</v>
      </c>
      <c r="H21" s="209">
        <f>H20*'Development Schedule'!I12</f>
        <v>8978402.3428849503</v>
      </c>
      <c r="I21" s="209">
        <f>I20*'Development Schedule'!J12</f>
        <v>0</v>
      </c>
      <c r="J21" s="196">
        <f>J20*'Development Schedule'!K12</f>
        <v>2025635.3820452769</v>
      </c>
      <c r="K21" s="196">
        <f>K20*'Development Schedule'!L12</f>
        <v>2066148.0896861826</v>
      </c>
      <c r="L21" s="196">
        <f>L20*'Development Schedule'!M12</f>
        <v>0</v>
      </c>
      <c r="M21" s="196">
        <f>M20*'Development Schedule'!N12</f>
        <v>0</v>
      </c>
      <c r="N21" s="479">
        <f>SUM(C21:M21)</f>
        <v>41127771.018988915</v>
      </c>
    </row>
    <row r="22" spans="1:14" ht="18" customHeight="1" x14ac:dyDescent="0.2">
      <c r="A22" s="25" t="s">
        <v>15</v>
      </c>
      <c r="B22" s="313"/>
      <c r="C22" s="647"/>
      <c r="D22" s="718"/>
      <c r="E22" s="718"/>
      <c r="F22" s="718"/>
      <c r="G22" s="719"/>
      <c r="H22" s="719"/>
      <c r="I22" s="719"/>
      <c r="J22" s="694"/>
      <c r="K22" s="694"/>
      <c r="L22" s="694"/>
      <c r="M22" s="694"/>
    </row>
    <row r="23" spans="1:14" ht="14.1" customHeight="1" x14ac:dyDescent="0.2">
      <c r="A23" s="49" t="s">
        <v>3</v>
      </c>
      <c r="B23" s="635"/>
      <c r="C23" s="720">
        <f>C21</f>
        <v>0</v>
      </c>
      <c r="D23" s="632">
        <f>SUM(D21:D22)</f>
        <v>9532292.0625000019</v>
      </c>
      <c r="E23" s="632">
        <f t="shared" ref="E23:M23" si="11">SUM(E21:E22)</f>
        <v>9722937.9037500024</v>
      </c>
      <c r="F23" s="632">
        <f t="shared" si="11"/>
        <v>0</v>
      </c>
      <c r="G23" s="633">
        <f t="shared" si="11"/>
        <v>8802355.2381225005</v>
      </c>
      <c r="H23" s="633">
        <f t="shared" si="11"/>
        <v>8978402.3428849503</v>
      </c>
      <c r="I23" s="633">
        <f t="shared" si="11"/>
        <v>0</v>
      </c>
      <c r="J23" s="634">
        <f t="shared" si="11"/>
        <v>2025635.3820452769</v>
      </c>
      <c r="K23" s="634">
        <f t="shared" si="11"/>
        <v>2066148.0896861826</v>
      </c>
      <c r="L23" s="634">
        <f t="shared" si="11"/>
        <v>0</v>
      </c>
      <c r="M23" s="634">
        <f t="shared" si="11"/>
        <v>0</v>
      </c>
    </row>
    <row r="24" spans="1:14" ht="14.1" customHeight="1" x14ac:dyDescent="0.2">
      <c r="A24" s="42" t="s">
        <v>4</v>
      </c>
      <c r="B24" s="328"/>
      <c r="C24" s="215"/>
      <c r="D24" s="177"/>
      <c r="E24" s="177"/>
      <c r="F24" s="177"/>
      <c r="G24" s="204"/>
      <c r="H24" s="204"/>
      <c r="I24" s="204"/>
      <c r="J24" s="191"/>
      <c r="K24" s="191"/>
      <c r="L24" s="191"/>
      <c r="M24" s="191"/>
    </row>
    <row r="25" spans="1:14" ht="14.1" customHeight="1" x14ac:dyDescent="0.2">
      <c r="A25" s="25" t="s">
        <v>5</v>
      </c>
      <c r="B25" s="307"/>
      <c r="C25" s="220">
        <f>C17</f>
        <v>0</v>
      </c>
      <c r="D25" s="182">
        <f t="shared" ref="D25:M25" si="12">D17</f>
        <v>4419933.1835399996</v>
      </c>
      <c r="E25" s="182">
        <f t="shared" si="12"/>
        <v>4508331.8472107993</v>
      </c>
      <c r="F25" s="182">
        <f t="shared" si="12"/>
        <v>0</v>
      </c>
      <c r="G25" s="209">
        <f t="shared" si="12"/>
        <v>4081476.0768126412</v>
      </c>
      <c r="H25" s="209">
        <f t="shared" si="12"/>
        <v>4163105.5983488937</v>
      </c>
      <c r="I25" s="209">
        <f t="shared" si="12"/>
        <v>0</v>
      </c>
      <c r="J25" s="196">
        <f t="shared" si="12"/>
        <v>939246.61394675402</v>
      </c>
      <c r="K25" s="196">
        <f t="shared" si="12"/>
        <v>958031.54622568935</v>
      </c>
      <c r="L25" s="196">
        <f t="shared" si="12"/>
        <v>0</v>
      </c>
      <c r="M25" s="196">
        <f t="shared" si="12"/>
        <v>0</v>
      </c>
    </row>
    <row r="26" spans="1:14" ht="18" customHeight="1" x14ac:dyDescent="0.2">
      <c r="A26" s="159" t="s">
        <v>102</v>
      </c>
      <c r="B26" s="316">
        <v>7.0000000000000007E-2</v>
      </c>
      <c r="C26" s="221">
        <f>C25/$B$26</f>
        <v>0</v>
      </c>
      <c r="D26" s="183"/>
      <c r="E26" s="183"/>
      <c r="F26" s="183">
        <f t="shared" ref="F26:I26" si="13">F25/$B$26</f>
        <v>0</v>
      </c>
      <c r="G26" s="210"/>
      <c r="H26" s="210"/>
      <c r="I26" s="210">
        <f t="shared" si="13"/>
        <v>0</v>
      </c>
      <c r="J26" s="197"/>
      <c r="K26" s="197"/>
      <c r="L26" s="197">
        <f t="shared" ref="L26" si="14">L25/$B$26</f>
        <v>0</v>
      </c>
      <c r="M26" s="197">
        <f>N17/$B$26</f>
        <v>272430355.22978252</v>
      </c>
    </row>
    <row r="27" spans="1:14" ht="18" customHeight="1" x14ac:dyDescent="0.2">
      <c r="A27" s="159" t="s">
        <v>103</v>
      </c>
      <c r="B27" s="317">
        <v>0.05</v>
      </c>
      <c r="C27" s="222">
        <f>C26*(-$B$27)</f>
        <v>0</v>
      </c>
      <c r="D27" s="183">
        <f t="shared" ref="D27:M27" si="15">D26*(-$B$27)</f>
        <v>0</v>
      </c>
      <c r="E27" s="183">
        <f t="shared" si="15"/>
        <v>0</v>
      </c>
      <c r="F27" s="183">
        <f t="shared" si="15"/>
        <v>0</v>
      </c>
      <c r="G27" s="210">
        <f t="shared" si="15"/>
        <v>0</v>
      </c>
      <c r="H27" s="210">
        <f t="shared" si="15"/>
        <v>0</v>
      </c>
      <c r="I27" s="210">
        <f t="shared" si="15"/>
        <v>0</v>
      </c>
      <c r="J27" s="197">
        <f t="shared" si="15"/>
        <v>0</v>
      </c>
      <c r="K27" s="197">
        <f t="shared" si="15"/>
        <v>0</v>
      </c>
      <c r="L27" s="197">
        <f t="shared" si="15"/>
        <v>0</v>
      </c>
      <c r="M27" s="197">
        <f t="shared" si="15"/>
        <v>-13621517.761489127</v>
      </c>
    </row>
    <row r="28" spans="1:14" ht="18" customHeight="1" x14ac:dyDescent="0.2">
      <c r="A28" s="49" t="s">
        <v>3</v>
      </c>
      <c r="B28" s="329"/>
      <c r="C28" s="219">
        <f>C23</f>
        <v>0</v>
      </c>
      <c r="D28" s="280">
        <f>-D23</f>
        <v>-9532292.0625000019</v>
      </c>
      <c r="E28" s="280">
        <f t="shared" ref="E28:M28" si="16">-E23</f>
        <v>-9722937.9037500024</v>
      </c>
      <c r="F28" s="280">
        <f t="shared" si="16"/>
        <v>0</v>
      </c>
      <c r="G28" s="286">
        <f t="shared" si="16"/>
        <v>-8802355.2381225005</v>
      </c>
      <c r="H28" s="286">
        <f t="shared" si="16"/>
        <v>-8978402.3428849503</v>
      </c>
      <c r="I28" s="286">
        <f t="shared" si="16"/>
        <v>0</v>
      </c>
      <c r="J28" s="292">
        <f t="shared" si="16"/>
        <v>-2025635.3820452769</v>
      </c>
      <c r="K28" s="292">
        <f t="shared" si="16"/>
        <v>-2066148.0896861826</v>
      </c>
      <c r="L28" s="292">
        <f t="shared" si="16"/>
        <v>0</v>
      </c>
      <c r="M28" s="292">
        <f t="shared" si="16"/>
        <v>0</v>
      </c>
    </row>
    <row r="29" spans="1:14" x14ac:dyDescent="0.2">
      <c r="A29" s="160" t="s">
        <v>6</v>
      </c>
      <c r="B29" s="330"/>
      <c r="C29" s="301">
        <f>SUM(C25:C28)</f>
        <v>0</v>
      </c>
      <c r="D29" s="281">
        <f t="shared" ref="D29:M29" si="17">SUM(D25:D28)</f>
        <v>-5112358.8789600022</v>
      </c>
      <c r="E29" s="281">
        <f t="shared" si="17"/>
        <v>-5214606.056539203</v>
      </c>
      <c r="F29" s="281">
        <f t="shared" si="17"/>
        <v>0</v>
      </c>
      <c r="G29" s="287">
        <f t="shared" si="17"/>
        <v>-4720879.1613098588</v>
      </c>
      <c r="H29" s="287">
        <f t="shared" si="17"/>
        <v>-4815296.7445360571</v>
      </c>
      <c r="I29" s="287">
        <f t="shared" si="17"/>
        <v>0</v>
      </c>
      <c r="J29" s="293">
        <f t="shared" si="17"/>
        <v>-1086388.7680985229</v>
      </c>
      <c r="K29" s="293">
        <f t="shared" si="17"/>
        <v>-1108116.5434604932</v>
      </c>
      <c r="L29" s="293">
        <f t="shared" si="17"/>
        <v>0</v>
      </c>
      <c r="M29" s="293">
        <f t="shared" si="17"/>
        <v>258808837.4682934</v>
      </c>
    </row>
    <row r="30" spans="1:14" x14ac:dyDescent="0.2">
      <c r="A30" s="161" t="s">
        <v>39</v>
      </c>
      <c r="B30" s="304">
        <v>0.1</v>
      </c>
      <c r="C30" s="223">
        <f>C29+(NPV(B30,D29:M29))</f>
        <v>83536041.592394054</v>
      </c>
      <c r="D30" s="173"/>
      <c r="E30" s="173"/>
      <c r="F30" s="173"/>
      <c r="G30" s="199"/>
      <c r="H30" s="199"/>
      <c r="I30" s="199"/>
      <c r="J30" s="186"/>
      <c r="K30" s="186"/>
      <c r="L30" s="186"/>
      <c r="M30" s="186"/>
    </row>
    <row r="31" spans="1:14" x14ac:dyDescent="0.2">
      <c r="A31" s="50" t="s">
        <v>105</v>
      </c>
      <c r="B31" s="630"/>
      <c r="C31" s="695">
        <f>IRR(C29:M29)</f>
        <v>0.40689184837898318</v>
      </c>
      <c r="D31" s="181"/>
      <c r="E31" s="181"/>
      <c r="F31" s="181"/>
      <c r="G31" s="208"/>
      <c r="H31" s="208"/>
      <c r="I31" s="208"/>
      <c r="J31" s="195"/>
      <c r="K31" s="195"/>
      <c r="L31" s="195"/>
      <c r="M31" s="195"/>
    </row>
    <row r="32" spans="1:14" x14ac:dyDescent="0.2">
      <c r="A32" s="50" t="s">
        <v>90</v>
      </c>
      <c r="B32" s="630"/>
      <c r="C32" s="631"/>
      <c r="D32" s="181"/>
      <c r="E32" s="181"/>
      <c r="F32" s="181"/>
      <c r="G32" s="208"/>
      <c r="H32" s="208"/>
      <c r="I32" s="208"/>
      <c r="J32" s="195"/>
      <c r="K32" s="195"/>
      <c r="L32" s="195"/>
      <c r="M32" s="195"/>
    </row>
    <row r="34" spans="2:2" x14ac:dyDescent="0.2">
      <c r="B34" s="54"/>
    </row>
  </sheetData>
  <pageMargins left="0.5" right="0.5" top="1" bottom="0.5" header="0.5" footer="0.5"/>
  <pageSetup orientation="landscape" r:id="rId1"/>
  <headerFooter alignWithMargins="0">
    <oddHeader>&amp;L&amp;"Arial,Bold"3. Income Statement: Market-rate For Sale Housing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7</vt:i4>
      </vt:variant>
    </vt:vector>
  </HeadingPairs>
  <TitlesOfParts>
    <vt:vector size="23" baseType="lpstr">
      <vt:lpstr>Summary Board</vt:lpstr>
      <vt:lpstr>Financing</vt:lpstr>
      <vt:lpstr>Development Schedule</vt:lpstr>
      <vt:lpstr>Development Schedule by Lot</vt:lpstr>
      <vt:lpstr>1.Infrastructure Costs</vt:lpstr>
      <vt:lpstr>2.Market-rate Rental Housing</vt:lpstr>
      <vt:lpstr>3.Market-rate For-Sale Housing</vt:lpstr>
      <vt:lpstr>4.Affordable Rental Housing</vt:lpstr>
      <vt:lpstr>5.Affordable For-Sale Housing</vt:lpstr>
      <vt:lpstr>6.Office_Commercial</vt:lpstr>
      <vt:lpstr>7.Market-rate Retail</vt:lpstr>
      <vt:lpstr>8.Hotel</vt:lpstr>
      <vt:lpstr>9.University</vt:lpstr>
      <vt:lpstr>10.School</vt:lpstr>
      <vt:lpstr>11.Structured Parking</vt:lpstr>
      <vt:lpstr>(no)Surface Parking</vt:lpstr>
      <vt:lpstr>'1.Infrastructure Costs'!Print_Area</vt:lpstr>
      <vt:lpstr>'3.Market-rate For-Sale Housing'!Print_Area</vt:lpstr>
      <vt:lpstr>'5.Affordable For-Sale Housing'!Print_Area</vt:lpstr>
      <vt:lpstr>'8.Hotel'!Print_Area</vt:lpstr>
      <vt:lpstr>'Development Schedule'!Print_Area</vt:lpstr>
      <vt:lpstr>Financing!Print_Area</vt:lpstr>
      <vt:lpstr>'Summary Board'!Print_Area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Velaise;Samantha Monge Kaser</dc:creator>
  <cp:lastModifiedBy>Monge Kaser, Samantha</cp:lastModifiedBy>
  <cp:lastPrinted>2019-01-07T15:55:54Z</cp:lastPrinted>
  <dcterms:created xsi:type="dcterms:W3CDTF">2007-12-12T14:49:40Z</dcterms:created>
  <dcterms:modified xsi:type="dcterms:W3CDTF">2019-01-28T05:10:21Z</dcterms:modified>
</cp:coreProperties>
</file>